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firstSheet="1" activeTab="2"/>
  </bookViews>
  <sheets>
    <sheet name="Calculation" sheetId="1" state="hidden" r:id="rId1"/>
    <sheet name="FCC Sup B to OET B65 Ed97-01" sheetId="2" r:id="rId2"/>
    <sheet name="ACMA Cover Letter Jan2013" sheetId="3" r:id="rId3"/>
    <sheet name="Australia - ACMA 2005" sheetId="4" r:id="rId4"/>
    <sheet name="New Zealand NZS2772-1999" sheetId="5" r:id="rId5"/>
    <sheet name="NOTES" sheetId="6" r:id="rId6"/>
  </sheets>
  <definedNames>
    <definedName name="FREQUENCY_BAND">'Australia - ACMA 2005'!$B$56:$B$69</definedName>
    <definedName name="_xlnm.Print_Area" localSheetId="2">'ACMA Cover Letter Jan2013'!$A$1:$E$41</definedName>
    <definedName name="_xlnm.Print_Area" localSheetId="3">'Australia - ACMA 2005'!$A$1:$F$37</definedName>
    <definedName name="_xlnm.Print_Area" localSheetId="1">'FCC Sup B to OET B65 Ed97-01'!$A$1:$E$25</definedName>
    <definedName name="_xlnm.Print_Area" localSheetId="4">'New Zealand NZS2772-1999'!$A$1:$E$34</definedName>
  </definedNames>
  <calcPr fullCalcOnLoad="1"/>
</workbook>
</file>

<file path=xl/comments2.xml><?xml version="1.0" encoding="utf-8"?>
<comments xmlns="http://schemas.openxmlformats.org/spreadsheetml/2006/main">
  <authors>
    <author>Armour</author>
  </authors>
  <commentList>
    <comment ref="B24" authorId="0">
      <text>
        <r>
          <rPr>
            <b/>
            <sz val="9"/>
            <rFont val="Tahoma"/>
            <family val="2"/>
          </rPr>
          <t>More conservative than the FCC guide at 70cm and higher bands.</t>
        </r>
        <r>
          <rPr>
            <sz val="9"/>
            <rFont val="Tahoma"/>
            <family val="2"/>
          </rPr>
          <t xml:space="preserve">
</t>
        </r>
      </text>
    </comment>
    <comment ref="B25" authorId="0">
      <text>
        <r>
          <rPr>
            <b/>
            <sz val="9"/>
            <rFont val="Tahoma"/>
            <family val="2"/>
          </rPr>
          <t>More conservative than the FCC guide at 70cm and higher bands.</t>
        </r>
        <r>
          <rPr>
            <sz val="9"/>
            <rFont val="Tahoma"/>
            <family val="2"/>
          </rPr>
          <t xml:space="preserve">
</t>
        </r>
      </text>
    </comment>
  </commentList>
</comments>
</file>

<file path=xl/comments4.xml><?xml version="1.0" encoding="utf-8"?>
<comments xmlns="http://schemas.openxmlformats.org/spreadsheetml/2006/main">
  <authors>
    <author>Armour</author>
  </authors>
  <commentList>
    <comment ref="E32" authorId="0">
      <text>
        <r>
          <rPr>
            <b/>
            <sz val="9"/>
            <rFont val="Tahoma"/>
            <family val="2"/>
          </rPr>
          <t>VK2CZ: ACMA Table 2b does NOT completely follow calculated EMR. The calculated distances represented here are more CONSERVATIVE.</t>
        </r>
        <r>
          <rPr>
            <sz val="9"/>
            <rFont val="Tahoma"/>
            <family val="2"/>
          </rPr>
          <t xml:space="preserve">
</t>
        </r>
      </text>
    </comment>
  </commentList>
</comments>
</file>

<file path=xl/sharedStrings.xml><?xml version="1.0" encoding="utf-8"?>
<sst xmlns="http://schemas.openxmlformats.org/spreadsheetml/2006/main" count="418" uniqueCount="224">
  <si>
    <t>STATION CALLSIGN:</t>
  </si>
  <si>
    <t>David Burger</t>
  </si>
  <si>
    <t>FREQUENCY BAND</t>
  </si>
  <si>
    <t>MHz</t>
  </si>
  <si>
    <t>TX PEP power</t>
  </si>
  <si>
    <t>Watts</t>
  </si>
  <si>
    <t>Average power</t>
  </si>
  <si>
    <t>Antenna gain (Isotropic)</t>
  </si>
  <si>
    <t>dB</t>
  </si>
  <si>
    <t>Linear Gain with losses</t>
  </si>
  <si>
    <t>Lowest height of antenna (AGL)</t>
  </si>
  <si>
    <t>m</t>
  </si>
  <si>
    <t>Is antenna accessible to Public?</t>
  </si>
  <si>
    <t>YOU ARE IN CATEGORY</t>
  </si>
  <si>
    <t>Declaration of Conformity to Category 2</t>
  </si>
  <si>
    <t>I declare that I have had an EMR assessment completed of my station for the non-compliant frequency band and the following applies:</t>
  </si>
  <si>
    <t>Self-Assessment Workings Below:</t>
  </si>
  <si>
    <t>Clarification Comments</t>
  </si>
  <si>
    <t>Closest PUBLIC access to Antenna (m)</t>
  </si>
  <si>
    <r>
      <t xml:space="preserve">Please find enclosed a copy of NATA certified EMR Compliance Report. </t>
    </r>
    <r>
      <rPr>
        <b/>
        <sz val="10"/>
        <rFont val="Verdana"/>
        <family val="2"/>
      </rPr>
      <t>OR.</t>
    </r>
  </si>
  <si>
    <t>ACA EMR COMPLIANCE CALCULATION</t>
  </si>
  <si>
    <t>Ref Formula (4) and (5) from ACA "Guidelines on the assessment of installations against EMR exposure limits (Sept 2000)</t>
  </si>
  <si>
    <t>Freq:</t>
  </si>
  <si>
    <t>Mhz</t>
  </si>
  <si>
    <t>ANTENNA</t>
  </si>
  <si>
    <t>TEST</t>
  </si>
  <si>
    <t>ANT GAIN</t>
  </si>
  <si>
    <t>COMPLIANCE of TOOL to ACA.</t>
  </si>
  <si>
    <t>Power:</t>
  </si>
  <si>
    <t>watt</t>
  </si>
  <si>
    <t>Dipole/array</t>
  </si>
  <si>
    <t xml:space="preserve"> table 2a</t>
  </si>
  <si>
    <t>spec</t>
  </si>
  <si>
    <t>OK</t>
  </si>
  <si>
    <t>Ant Gain:</t>
  </si>
  <si>
    <t>dBi</t>
  </si>
  <si>
    <t xml:space="preserve"> table 2b</t>
  </si>
  <si>
    <t>Feedline Loss:</t>
  </si>
  <si>
    <t>Tribander</t>
  </si>
  <si>
    <t xml:space="preserve"> table 3</t>
  </si>
  <si>
    <t>spec + 1dB</t>
  </si>
  <si>
    <t>OK, ADD 1dB to Tribander gain</t>
  </si>
  <si>
    <t>Off-axis attenuation (yagi)</t>
  </si>
  <si>
    <t>Quarter wave vertical</t>
  </si>
  <si>
    <t xml:space="preserve"> table 4</t>
  </si>
  <si>
    <t>1 dBi</t>
  </si>
  <si>
    <t>Half Wave Dipole</t>
  </si>
  <si>
    <t xml:space="preserve"> table 5</t>
  </si>
  <si>
    <t>2dBi</t>
  </si>
  <si>
    <t xml:space="preserve">Minimum Distance </t>
  </si>
  <si>
    <t xml:space="preserve"> table 6</t>
  </si>
  <si>
    <t>1dBi</t>
  </si>
  <si>
    <t>5/8 Wave Vertical</t>
  </si>
  <si>
    <t xml:space="preserve"> table 7</t>
  </si>
  <si>
    <t>4dBi</t>
  </si>
  <si>
    <t>17 Ele Yagi</t>
  </si>
  <si>
    <t xml:space="preserve"> table 8</t>
  </si>
  <si>
    <t>16.8dBi</t>
  </si>
  <si>
    <t>Discone</t>
  </si>
  <si>
    <t xml:space="preserve"> table 9</t>
  </si>
  <si>
    <t xml:space="preserve"> table 10</t>
  </si>
  <si>
    <t>Quarter Wave Sloper</t>
  </si>
  <si>
    <t xml:space="preserve"> table 11</t>
  </si>
  <si>
    <t>7.5dBi</t>
  </si>
  <si>
    <t>OK, use 7.5dBi</t>
  </si>
  <si>
    <t>Yagi Array</t>
  </si>
  <si>
    <t xml:space="preserve"> table 12</t>
  </si>
  <si>
    <t>24dBi</t>
  </si>
  <si>
    <t>** WARNING**</t>
  </si>
  <si>
    <t>The distance calculations meet or exceed ACA recommendations as per compliance notes</t>
  </si>
  <si>
    <t>Above 50Mhz however, ACA distance limits are no longer frequency dependant, making the results possibly conservative to accepted calculations.</t>
  </si>
  <si>
    <t>Modulation Form factor</t>
  </si>
  <si>
    <t>Antenna and tower is located on private land and nearest PUBLIC access point is footpatch at front gate. From site inspection.</t>
  </si>
  <si>
    <t>Watts EIRP (&lt;3,200watts for cat 1.)</t>
  </si>
  <si>
    <t>PUBLIC EXPOSURE DISTANCE IN MAIN BEAM</t>
  </si>
  <si>
    <t>PUBLIC EXPOSURE DISTANCE TO SIDELOBES</t>
  </si>
  <si>
    <t>LOCATION:</t>
  </si>
  <si>
    <t>Evaluated by:</t>
  </si>
  <si>
    <t>Date:</t>
  </si>
  <si>
    <t>ACMA - Human Exposure to EMR: Assessment of Amateur Radio Compliance.</t>
  </si>
  <si>
    <t>Lookup tables</t>
  </si>
  <si>
    <t>Packet</t>
  </si>
  <si>
    <t>Repeaters / Beacon</t>
  </si>
  <si>
    <t>Contests</t>
  </si>
  <si>
    <t>Broadcast</t>
  </si>
  <si>
    <t>Feedline Cable</t>
  </si>
  <si>
    <t>Feedline Length (m)</t>
  </si>
  <si>
    <t>Transmission time ratio (in a 6min period)</t>
  </si>
  <si>
    <t>Feedline Loss</t>
  </si>
  <si>
    <t>Conversational SSB</t>
  </si>
  <si>
    <t>Conversational SSB compression</t>
  </si>
  <si>
    <t>Voice FM</t>
  </si>
  <si>
    <t>AM Voice 50% Modulation</t>
  </si>
  <si>
    <t>AM Voice 100% Modulation</t>
  </si>
  <si>
    <t>Conversational CW</t>
  </si>
  <si>
    <t>Digital  PSK31, AMTOR, MFSK, WSJT, RTTY</t>
  </si>
  <si>
    <t>Carrier</t>
  </si>
  <si>
    <t>Analogue TV</t>
  </si>
  <si>
    <t>RG-8X</t>
  </si>
  <si>
    <t>RG-213</t>
  </si>
  <si>
    <t>LDF-2</t>
  </si>
  <si>
    <t>LDF-4</t>
  </si>
  <si>
    <t>LDF-5</t>
  </si>
  <si>
    <t>RG-58 / RG-59</t>
  </si>
  <si>
    <t>RG-223</t>
  </si>
  <si>
    <t>If you are not Cat 2 compliant, change working conditions.</t>
  </si>
  <si>
    <t>Replicates Table 2a.2b.</t>
  </si>
  <si>
    <t>m     (&gt;10m for category 1)</t>
  </si>
  <si>
    <t>CATEGORY 2 COMPLIANCE</t>
  </si>
  <si>
    <t>m (Should be &lt; Public Access)</t>
  </si>
  <si>
    <t>Three Element Tribander (20m)</t>
  </si>
  <si>
    <t>Three Element Tribander (15m)</t>
  </si>
  <si>
    <t>Three Element Tribander (10m)</t>
  </si>
  <si>
    <t>Quarter Wave Vertical Antenna</t>
  </si>
  <si>
    <t>Half Wave Wire Dipole Antenna</t>
  </si>
  <si>
    <t>5/8 Wave Ground Plane Antenna</t>
  </si>
  <si>
    <t>17 Element Yagi</t>
  </si>
  <si>
    <t>Eight, 17 Element yagis</t>
  </si>
  <si>
    <t>HF/VHF Discone Antenna</t>
  </si>
  <si>
    <t>Quarter Wave Half-Sloper Antenna</t>
  </si>
  <si>
    <t>The known shortcomings of the ACMA document are:</t>
  </si>
  <si>
    <t>The user is recommended to read the assessment guide, noting that this calculator will provide matching or slightly conservative safe distance estimates to that shown in the ACMA Document. This calculator is not a substitute for the graphical or detailed site analysis shown in that guide.</t>
  </si>
  <si>
    <t>The reference document used for this assessment is titled: "Human Exposure to EMR: Assessment of Amateur Radio Stations for Compliance with ACA Requirements", May 2005, version 2.0.</t>
  </si>
  <si>
    <t>New Zealand - Amateur Radio Service: Self Assessment of Complaince with NZS2772:Part 1: 1999</t>
  </si>
  <si>
    <t>This calculator uses Peak Envelope Power (PEP) at the transmitter output to perform its calculations.</t>
  </si>
  <si>
    <t>The user is recommended to read the assessment guide, noting that this calculator will provide matching or slightly conservative safe distance estimates. New Zealand has largely adopted the ACMA guidelines, the 5MHz band is included here. The 136KHz band is excluded.</t>
  </si>
  <si>
    <t>Valid for frequencies below 1300MHz</t>
  </si>
  <si>
    <t>The reference document used for this assessment is titled: "Evaluating Compliance with FCC Guidelines for Human Exposure to Radiofrequency Electromagnetic Fields". FCC Office of Engineering &amp; Technology Supplement B Edition 97-01 to OET Bulletin 65 Edition 97-01, dated November 1997.</t>
  </si>
  <si>
    <t>The user is recommended to read the assessment guide, noting that this calculator will provide matching or slightly conservative safe distance estimates. This calculator is not a substitute for the graphical or detailed site analysis shown in that guide.</t>
  </si>
  <si>
    <t>K3HZ</t>
  </si>
  <si>
    <t xml:space="preserve">m </t>
  </si>
  <si>
    <t>replicates Table 4h.</t>
  </si>
  <si>
    <t>1m HF Loop</t>
  </si>
  <si>
    <t>Mobile stations and point to point links now appear to be included in the 2005 Guide, noting they were specifically excluded from the 2002 Guide.</t>
  </si>
  <si>
    <t>The reference document used for this assessment is titled: "Amateur Radio Service: Self assessment of Compliance with the requirements of NZS2772"Part1:1999</t>
  </si>
  <si>
    <t>The known shortcomings of the FCC document are:</t>
  </si>
  <si>
    <t>per 30.48m at 50Mhz</t>
  </si>
  <si>
    <t>Open Wire Ladder</t>
  </si>
  <si>
    <t>Average' Watts with feedline losses</t>
  </si>
  <si>
    <t>Antenna Gain with losses (linear)</t>
  </si>
  <si>
    <t>Controlled Distance -  minimum distance</t>
  </si>
  <si>
    <t>Mod Factor</t>
  </si>
  <si>
    <t>Time Factor over 6 minutes.</t>
  </si>
  <si>
    <t>Watts EIRP</t>
  </si>
  <si>
    <t>Evaluating Compliance with FCC Guidelines for Human Exposure to Radiofrequency Electromagnetic Fields</t>
  </si>
  <si>
    <t>Copy this whole worksheet for each band.</t>
  </si>
  <si>
    <t>The FCC safe distances shown on the bands of 50Mhz and higher do NOT comply with the EMR math calculations. Specifically, EMR safe distances for frequencies above 50MHz are all loosley capped at 50MHz, ie. changes in frequency above 50Mhz are ignored.   Oddly, frequency of operation on HF is factored by the FCC EMR Guide.. (and this calculator of course).</t>
  </si>
  <si>
    <t>USA FCC OET Calculation Guide</t>
  </si>
  <si>
    <t>dB per 30.48m at 50Mhz</t>
  </si>
  <si>
    <t>From FCC Worksheet.</t>
  </si>
  <si>
    <t>Casual / Mobile</t>
  </si>
  <si>
    <t>Please do the manual verification requested in tables 18 through 31. Please verify for additional updates.</t>
  </si>
  <si>
    <t>The ACMA safe distances shown on the bands of 50Mhz and higher do NOT comply with the EMR math calculations. Specifically, EMR safe distances for frequencies above 50MHz are all loosley capped at 50MHz, ie. changes in frequency above 50Mhz are ignored.   Oddly, frequency of operation on HF is factored by the ACMA EMR Guide.. (and this calculator of course).</t>
  </si>
  <si>
    <r>
      <t xml:space="preserve">The ACMA safe working distance in this 2005 version have almost doubled from those originally published by them in 2002. Please check for more recent updates. The 5MHz band is not part of the ACMA guide, but </t>
    </r>
    <r>
      <rPr>
        <b/>
        <sz val="12"/>
        <rFont val="Arial Narrow"/>
        <family val="2"/>
      </rPr>
      <t>IS INCLUDED</t>
    </r>
    <r>
      <rPr>
        <sz val="12"/>
        <rFont val="Arial Narrow"/>
        <family val="2"/>
      </rPr>
      <t xml:space="preserve"> in this calculator.</t>
    </r>
  </si>
  <si>
    <t>This calculator uses Peak Envelope Power (PEP) at the transmitter output to perform its calculations. It include the 5MHz band, noting regulatory power limits apply.</t>
  </si>
  <si>
    <t>Disclaimer</t>
  </si>
  <si>
    <t>Uncontrolled Distance - Recreational minimum</t>
  </si>
  <si>
    <t xml:space="preserve">This calculator uses Peak Envelope Power (PEP) at the transmitter output to perform its calculations. </t>
  </si>
  <si>
    <t>dB / 30.48m at Operating Frequency</t>
  </si>
  <si>
    <t>ENTER your Antenna gain (Isotropic)</t>
  </si>
  <si>
    <t>from table 10</t>
  </si>
  <si>
    <t>from table 17</t>
  </si>
  <si>
    <t>from table 9</t>
  </si>
  <si>
    <t>from table 12</t>
  </si>
  <si>
    <t>from table 7</t>
  </si>
  <si>
    <t>from table 14,15</t>
  </si>
  <si>
    <t>from table 16</t>
  </si>
  <si>
    <t>from table 6,8</t>
  </si>
  <si>
    <t>from table 5</t>
  </si>
  <si>
    <t>dB per 30.48m at Operating Frequency</t>
  </si>
  <si>
    <t>Antenna and tower is located on private land and nearest PUBLIC access point is sidewalk at front gate. From site inspection.</t>
  </si>
  <si>
    <t>COMPLETE BLUE SHADED ITEMS ONLY</t>
  </si>
  <si>
    <t>Suggested gain figure:</t>
  </si>
  <si>
    <t>Antenna Type lookup</t>
  </si>
  <si>
    <t>note</t>
  </si>
  <si>
    <t>With feedline losses</t>
  </si>
  <si>
    <t>assuming a 0dBi Antenna gain</t>
  </si>
  <si>
    <t>Columbia University</t>
  </si>
  <si>
    <t>This spreadsheet is not warranted nor guaranteed. No liability accepted, please verify your calculations with published guides. All the best, David Burger  (  k3hz@ieee.org )</t>
  </si>
  <si>
    <t>fuddle factor Low</t>
  </si>
  <si>
    <t>fuddle factor high</t>
  </si>
  <si>
    <t>These technically should be a constant value !!</t>
  </si>
  <si>
    <t>SAME "f" AS 20M ?</t>
  </si>
  <si>
    <t>Human Exposure to EMR: Assessment of Amateur Radio Stations for Compliance with ACA Requirements, May 2005, version 2.0</t>
  </si>
  <si>
    <t>Watts (Note 1kw permit on issue)</t>
  </si>
  <si>
    <t>VK2CZ</t>
  </si>
  <si>
    <t>© David Burger 2005</t>
  </si>
  <si>
    <t>David Burger, Chartered Professional Engineer</t>
  </si>
  <si>
    <t>Antenna is located in the side yard of property and is not physically accessible</t>
  </si>
  <si>
    <t>Compliance Level 1 Transmitters</t>
  </si>
  <si>
    <t>Compliance Level 2 Transmitters</t>
  </si>
  <si>
    <t>I conducted the assessment using the spreadsheet that I wrote in 2001 and updated with revised ACMA guidelines in 2005.</t>
  </si>
  <si>
    <r>
      <t xml:space="preserve">I do </t>
    </r>
    <r>
      <rPr>
        <b/>
        <i/>
        <sz val="9"/>
        <rFont val="Verdana"/>
        <family val="2"/>
      </rPr>
      <t>NOT</t>
    </r>
    <r>
      <rPr>
        <i/>
        <sz val="9"/>
        <rFont val="Verdana"/>
        <family val="2"/>
      </rPr>
      <t xml:space="preserve"> have any fixed operation on 160m, 80/75m, 40m,30,18m and 12m bands, as I operate these from my car only, and mobile is excluded from this assessment.</t>
    </r>
  </si>
  <si>
    <t>I entered in the key attribute data to find the installation is in Category 2 for the 20m, 15m and 10m bands.</t>
  </si>
  <si>
    <r>
      <t>1</t>
    </r>
    <r>
      <rPr>
        <sz val="10"/>
        <rFont val="Verdana"/>
        <family val="2"/>
      </rPr>
      <t>. I declare conformity of the transmitter installation, and that the data presented in the spreadsheet replicates the physical installation.</t>
    </r>
  </si>
  <si>
    <t>ACMA/2012/1556</t>
  </si>
  <si>
    <t>3(c),</t>
  </si>
  <si>
    <t>The size of the amplifier is 435mm wide, 190mm high and 465mm deep.</t>
  </si>
  <si>
    <t>There is no tilt on the amplifier. If this question refers to differential phase tilt, this is not measured or specified.</t>
  </si>
  <si>
    <t xml:space="preserve">Manufacturer is EMTRON, Kogarah, NSW </t>
  </si>
  <si>
    <t>Model Number is DX-2.</t>
  </si>
  <si>
    <t>Power level of linear amplifier is 1000watts PEP output.</t>
  </si>
  <si>
    <t>The amplifier has no emission designator, as this is defined by the driving transceiver. For SSB this is A3J, J3E and for CW A1A.</t>
  </si>
  <si>
    <r>
      <t>3(b).</t>
    </r>
    <r>
      <rPr>
        <sz val="10"/>
        <rFont val="Verdana"/>
        <family val="2"/>
      </rPr>
      <t xml:space="preserve">  Copies of assessment spreadsheets and calculations attached. </t>
    </r>
  </si>
  <si>
    <t>A copy of the base spreadsheet used is included in this submission, if ACMA choose to test and validate or audit the formulas translation from the ACMA 2005 Guidelines.</t>
  </si>
  <si>
    <r>
      <t>3(a)</t>
    </r>
    <r>
      <rPr>
        <sz val="10"/>
        <rFont val="Verdana"/>
        <family val="2"/>
      </rPr>
      <t>. Date of asessment:13 February 2013</t>
    </r>
  </si>
  <si>
    <t>Transmitter driver is an Icom IC-7800 transceiver with r3.1 software loaded, with ALC feedback providing approx 50watts drive to the amplifier</t>
  </si>
  <si>
    <t>ACMA REFERENCE No:</t>
  </si>
  <si>
    <r>
      <t>2.</t>
    </r>
    <r>
      <rPr>
        <sz val="10"/>
        <rFont val="Verdana"/>
        <family val="2"/>
      </rPr>
      <t xml:space="preserve"> I performed this assessment myself.</t>
    </r>
  </si>
  <si>
    <r>
      <t xml:space="preserve">3. </t>
    </r>
    <r>
      <rPr>
        <sz val="10"/>
        <rFont val="Verdana"/>
        <family val="2"/>
      </rPr>
      <t>David E Burger, Chartered Professional Engineer, Electronics and Telecommunications, BEng(Electrical)</t>
    </r>
  </si>
  <si>
    <t>The EMTRON DX-2 Amplifier gain is unspecified, however the GU74b tube used in this unit have a nominal gain of approx 13dB.</t>
  </si>
  <si>
    <t>ACMA/2012/????</t>
  </si>
  <si>
    <t>MOUNT COLAH, NSW 2079</t>
  </si>
  <si>
    <t xml:space="preserve">I also declare this spreadsheet has been exhaustively tested to replicate ALL of the tables and scenarios listed in Human Exposure to </t>
  </si>
  <si>
    <t>EMR: Assessment of Amateur Radio Stations for Compliance with ACA Requirements, May 2005, version 2.0</t>
  </si>
  <si>
    <t>ACMA - Human Exposure to EMR: Assessment of Amateur Radio Compliance. V2</t>
  </si>
  <si>
    <t>VK8AA</t>
  </si>
  <si>
    <t>Surf Lifesaving Clubrooms, Brinkin</t>
  </si>
  <si>
    <t>My Antenna is:</t>
  </si>
  <si>
    <t>Hygain TH7DX Tribander</t>
  </si>
  <si>
    <r>
      <t xml:space="preserve">Australian ACMA Calculation Guide.  </t>
    </r>
    <r>
      <rPr>
        <b/>
        <i/>
        <sz val="16"/>
        <color indexed="9"/>
        <rFont val="Arial Narrow"/>
        <family val="2"/>
      </rPr>
      <t>V2, updated logic around definition of Category 1 - 14March2013.</t>
    </r>
  </si>
  <si>
    <t>New Zealand Calculation Guide, V2, updated logic around definition of Category 1 - 14March2013.</t>
  </si>
  <si>
    <t>I declare that I have had an EMR assessment completed of my station for the non-compliant frequency band and the following distance separations applies:</t>
  </si>
  <si>
    <t>I declare I have followed the AS2772.10 Appendix B requirements.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</si>
</sst>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s>
  <fonts count="63">
    <font>
      <sz val="10"/>
      <name val="Arial"/>
      <family val="0"/>
    </font>
    <font>
      <b/>
      <sz val="14"/>
      <color indexed="43"/>
      <name val="Verdana"/>
      <family val="2"/>
    </font>
    <font>
      <sz val="10"/>
      <color indexed="43"/>
      <name val="Verdana"/>
      <family val="2"/>
    </font>
    <font>
      <sz val="10"/>
      <name val="Verdana"/>
      <family val="2"/>
    </font>
    <font>
      <sz val="9"/>
      <name val="Verdana"/>
      <family val="2"/>
    </font>
    <font>
      <i/>
      <sz val="9"/>
      <name val="Verdana"/>
      <family val="2"/>
    </font>
    <font>
      <b/>
      <sz val="9"/>
      <name val="Verdana"/>
      <family val="2"/>
    </font>
    <font>
      <b/>
      <sz val="10"/>
      <name val="Verdana"/>
      <family val="2"/>
    </font>
    <font>
      <i/>
      <sz val="10"/>
      <name val="Verdana"/>
      <family val="2"/>
    </font>
    <font>
      <b/>
      <sz val="14"/>
      <name val="Verdana"/>
      <family val="2"/>
    </font>
    <font>
      <sz val="14"/>
      <name val="Verdana"/>
      <family val="2"/>
    </font>
    <font>
      <sz val="11"/>
      <name val="Verdana"/>
      <family val="2"/>
    </font>
    <font>
      <i/>
      <sz val="8"/>
      <name val="Verdana"/>
      <family val="2"/>
    </font>
    <font>
      <b/>
      <sz val="11"/>
      <name val="Verdana"/>
      <family val="2"/>
    </font>
    <font>
      <b/>
      <sz val="8"/>
      <color indexed="8"/>
      <name val="Verdana"/>
      <family val="2"/>
    </font>
    <font>
      <sz val="9"/>
      <color indexed="42"/>
      <name val="Verdana"/>
      <family val="2"/>
    </font>
    <font>
      <sz val="9"/>
      <name val="Tahoma"/>
      <family val="2"/>
    </font>
    <font>
      <b/>
      <sz val="9"/>
      <name val="Tahoma"/>
      <family val="2"/>
    </font>
    <font>
      <sz val="10"/>
      <name val="Arial Narrow"/>
      <family val="2"/>
    </font>
    <font>
      <sz val="12"/>
      <name val="Arial Narrow"/>
      <family val="2"/>
    </font>
    <font>
      <b/>
      <sz val="12"/>
      <name val="Arial Narrow"/>
      <family val="2"/>
    </font>
    <font>
      <i/>
      <sz val="1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9"/>
      <color indexed="9"/>
      <name val="Verdana"/>
      <family val="2"/>
    </font>
    <font>
      <sz val="10"/>
      <color indexed="22"/>
      <name val="Verdana"/>
      <family val="2"/>
    </font>
    <font>
      <sz val="14"/>
      <color indexed="10"/>
      <name val="Verdana"/>
      <family val="2"/>
    </font>
    <font>
      <sz val="10"/>
      <color indexed="10"/>
      <name val="Verdana"/>
      <family val="2"/>
    </font>
    <font>
      <b/>
      <sz val="11"/>
      <color indexed="10"/>
      <name val="Verdana"/>
      <family val="2"/>
    </font>
    <font>
      <b/>
      <i/>
      <sz val="9"/>
      <color indexed="10"/>
      <name val="Verdana"/>
      <family val="2"/>
    </font>
    <font>
      <b/>
      <sz val="16"/>
      <color indexed="60"/>
      <name val="Verdana"/>
      <family val="2"/>
    </font>
    <font>
      <b/>
      <sz val="16"/>
      <color indexed="9"/>
      <name val="Arial Narrow"/>
      <family val="2"/>
    </font>
    <font>
      <b/>
      <sz val="12"/>
      <color indexed="10"/>
      <name val="Arial Narrow"/>
      <family val="2"/>
    </font>
    <font>
      <b/>
      <sz val="12"/>
      <color indexed="62"/>
      <name val="Arial Narrow"/>
      <family val="2"/>
    </font>
    <font>
      <sz val="12"/>
      <color indexed="62"/>
      <name val="Arial Narrow"/>
      <family val="2"/>
    </font>
    <font>
      <i/>
      <sz val="12"/>
      <color indexed="8"/>
      <name val="Arial Narrow"/>
      <family val="2"/>
    </font>
    <font>
      <sz val="12"/>
      <color indexed="9"/>
      <name val="Arial Narrow"/>
      <family val="2"/>
    </font>
    <font>
      <sz val="9"/>
      <color indexed="22"/>
      <name val="Verdana"/>
      <family val="2"/>
    </font>
    <font>
      <sz val="10"/>
      <color indexed="9"/>
      <name val="Verdana"/>
      <family val="2"/>
    </font>
    <font>
      <sz val="10"/>
      <color indexed="8"/>
      <name val="Verdana"/>
      <family val="2"/>
    </font>
    <font>
      <sz val="8"/>
      <name val="Arial"/>
      <family val="0"/>
    </font>
    <font>
      <b/>
      <sz val="10"/>
      <color indexed="10"/>
      <name val="Verdana"/>
      <family val="2"/>
    </font>
    <font>
      <b/>
      <i/>
      <sz val="9"/>
      <name val="Verdana"/>
      <family val="2"/>
    </font>
    <font>
      <b/>
      <i/>
      <sz val="10"/>
      <name val="Verdana"/>
      <family val="2"/>
    </font>
    <font>
      <sz val="10"/>
      <color indexed="55"/>
      <name val="Verdana"/>
      <family val="2"/>
    </font>
    <font>
      <sz val="9"/>
      <color indexed="55"/>
      <name val="Verdana"/>
      <family val="2"/>
    </font>
    <font>
      <b/>
      <i/>
      <sz val="16"/>
      <color indexed="9"/>
      <name val="Arial Narrow"/>
      <family val="2"/>
    </font>
    <font>
      <b/>
      <sz val="8"/>
      <name val="Arial"/>
      <family val="2"/>
    </font>
  </fonts>
  <fills count="27">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62"/>
        <bgColor indexed="64"/>
      </patternFill>
    </fill>
    <fill>
      <patternFill patternType="solid">
        <fgColor indexed="11"/>
        <bgColor indexed="64"/>
      </patternFill>
    </fill>
    <fill>
      <patternFill patternType="solid">
        <fgColor indexed="50"/>
        <bgColor indexed="64"/>
      </patternFill>
    </fill>
    <fill>
      <patternFill patternType="solid">
        <fgColor indexed="30"/>
        <bgColor indexed="64"/>
      </patternFill>
    </fill>
    <fill>
      <patternFill patternType="solid">
        <fgColor indexed="40"/>
        <bgColor indexed="64"/>
      </patternFill>
    </fill>
    <fill>
      <patternFill patternType="solid">
        <fgColor indexed="8"/>
        <bgColor indexed="64"/>
      </patternFill>
    </fill>
    <fill>
      <patternFill patternType="solid">
        <fgColor indexed="51"/>
        <bgColor indexed="64"/>
      </patternFill>
    </fill>
    <fill>
      <patternFill patternType="solid">
        <fgColor indexed="5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color indexed="63"/>
      </left>
      <right>
        <color indexed="63"/>
      </right>
      <top style="double"/>
      <bottom style="thin"/>
    </border>
    <border>
      <left style="thin"/>
      <right>
        <color indexed="63"/>
      </right>
      <top>
        <color indexed="63"/>
      </top>
      <bottom>
        <color indexed="63"/>
      </bottom>
    </border>
    <border>
      <left>
        <color indexed="63"/>
      </left>
      <right>
        <color indexed="63"/>
      </right>
      <top>
        <color indexed="63"/>
      </top>
      <bottom style="thick">
        <color indexed="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1" applyNumberFormat="0" applyAlignment="0" applyProtection="0"/>
    <xf numFmtId="0" fontId="26"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0" fillId="4" borderId="7" applyNumberFormat="0" applyFont="0" applyAlignment="0" applyProtection="0"/>
    <xf numFmtId="0" fontId="35" fillId="15"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1">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3" fillId="18" borderId="0" xfId="0" applyFont="1" applyFill="1" applyAlignment="1">
      <alignment/>
    </xf>
    <xf numFmtId="0" fontId="1" fillId="19" borderId="10" xfId="0" applyFont="1" applyFill="1" applyBorder="1" applyAlignment="1">
      <alignment/>
    </xf>
    <xf numFmtId="0" fontId="2" fillId="19" borderId="10" xfId="0" applyFont="1" applyFill="1" applyBorder="1" applyAlignment="1">
      <alignment/>
    </xf>
    <xf numFmtId="0" fontId="2" fillId="19" borderId="10" xfId="0" applyFont="1" applyFill="1" applyBorder="1" applyAlignment="1">
      <alignment wrapText="1"/>
    </xf>
    <xf numFmtId="0" fontId="3" fillId="0" borderId="11" xfId="0" applyFont="1" applyFill="1" applyBorder="1" applyAlignment="1">
      <alignment/>
    </xf>
    <xf numFmtId="0" fontId="3" fillId="0" borderId="11" xfId="0" applyFont="1" applyFill="1" applyBorder="1" applyAlignment="1">
      <alignment wrapText="1"/>
    </xf>
    <xf numFmtId="0" fontId="3" fillId="0" borderId="0" xfId="0" applyFont="1" applyFill="1" applyAlignment="1">
      <alignment/>
    </xf>
    <xf numFmtId="2" fontId="3" fillId="18" borderId="0" xfId="0" applyNumberFormat="1" applyFont="1" applyFill="1" applyAlignment="1">
      <alignment wrapText="1"/>
    </xf>
    <xf numFmtId="164" fontId="3" fillId="0" borderId="0" xfId="0" applyNumberFormat="1" applyFont="1" applyFill="1" applyAlignment="1">
      <alignment/>
    </xf>
    <xf numFmtId="164" fontId="3" fillId="0" borderId="0" xfId="0" applyNumberFormat="1" applyFont="1" applyAlignment="1">
      <alignment/>
    </xf>
    <xf numFmtId="0" fontId="1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1" fillId="18" borderId="0" xfId="0" applyFont="1" applyFill="1" applyAlignment="1">
      <alignment/>
    </xf>
    <xf numFmtId="0" fontId="11" fillId="0" borderId="10" xfId="0" applyFont="1" applyBorder="1" applyAlignment="1">
      <alignment/>
    </xf>
    <xf numFmtId="0" fontId="11" fillId="13" borderId="0" xfId="0" applyFont="1" applyFill="1" applyAlignment="1">
      <alignment/>
    </xf>
    <xf numFmtId="0" fontId="4" fillId="20" borderId="0" xfId="0" applyFont="1" applyFill="1" applyAlignment="1">
      <alignment/>
    </xf>
    <xf numFmtId="0" fontId="11" fillId="21" borderId="0" xfId="0" applyFont="1" applyFill="1" applyAlignment="1">
      <alignment/>
    </xf>
    <xf numFmtId="0" fontId="4" fillId="0" borderId="10" xfId="0" applyFont="1" applyBorder="1" applyAlignment="1">
      <alignment/>
    </xf>
    <xf numFmtId="0" fontId="11" fillId="9" borderId="0" xfId="0" applyFont="1" applyFill="1" applyAlignment="1">
      <alignment/>
    </xf>
    <xf numFmtId="0" fontId="11" fillId="0" borderId="0" xfId="0" applyFont="1" applyBorder="1" applyAlignment="1">
      <alignment/>
    </xf>
    <xf numFmtId="0" fontId="11" fillId="6" borderId="12" xfId="0" applyFont="1" applyFill="1" applyBorder="1" applyAlignment="1">
      <alignment/>
    </xf>
    <xf numFmtId="2" fontId="11" fillId="6" borderId="12" xfId="0" applyNumberFormat="1" applyFont="1" applyFill="1" applyBorder="1" applyAlignment="1">
      <alignment/>
    </xf>
    <xf numFmtId="164" fontId="3" fillId="18" borderId="0" xfId="0" applyNumberFormat="1" applyFont="1" applyFill="1" applyAlignment="1">
      <alignment/>
    </xf>
    <xf numFmtId="0" fontId="3" fillId="0" borderId="13" xfId="0" applyFont="1" applyBorder="1" applyAlignment="1">
      <alignment/>
    </xf>
    <xf numFmtId="0" fontId="3" fillId="11" borderId="13" xfId="0" applyFont="1" applyFill="1" applyBorder="1" applyAlignment="1">
      <alignment wrapText="1"/>
    </xf>
    <xf numFmtId="164" fontId="3" fillId="18" borderId="10" xfId="0" applyNumberFormat="1" applyFont="1" applyFill="1" applyBorder="1" applyAlignment="1">
      <alignment/>
    </xf>
    <xf numFmtId="0" fontId="3" fillId="0" borderId="14" xfId="0" applyFont="1" applyBorder="1" applyAlignment="1">
      <alignment/>
    </xf>
    <xf numFmtId="0" fontId="3" fillId="0" borderId="14" xfId="0" applyFont="1" applyFill="1" applyBorder="1" applyAlignment="1">
      <alignment/>
    </xf>
    <xf numFmtId="0" fontId="7" fillId="0" borderId="0" xfId="0" applyFont="1" applyAlignment="1">
      <alignment horizontal="right" wrapText="1"/>
    </xf>
    <xf numFmtId="0" fontId="3" fillId="20" borderId="0" xfId="0" applyFont="1" applyFill="1" applyAlignment="1">
      <alignment/>
    </xf>
    <xf numFmtId="0" fontId="3" fillId="0" borderId="0" xfId="0" applyFont="1" applyBorder="1" applyAlignment="1">
      <alignment/>
    </xf>
    <xf numFmtId="0" fontId="3" fillId="22" borderId="0" xfId="0" applyFont="1" applyFill="1" applyAlignment="1">
      <alignment/>
    </xf>
    <xf numFmtId="0" fontId="3" fillId="20" borderId="12" xfId="0" applyFont="1" applyFill="1" applyBorder="1" applyAlignment="1">
      <alignment/>
    </xf>
    <xf numFmtId="9" fontId="3" fillId="20" borderId="12" xfId="0" applyNumberFormat="1" applyFont="1" applyFill="1" applyBorder="1" applyAlignment="1">
      <alignment/>
    </xf>
    <xf numFmtId="0" fontId="3" fillId="0" borderId="0" xfId="0" applyFont="1" applyBorder="1" applyAlignment="1">
      <alignment wrapText="1"/>
    </xf>
    <xf numFmtId="0" fontId="3" fillId="0" borderId="0" xfId="0" applyFont="1" applyFill="1" applyBorder="1" applyAlignment="1">
      <alignment/>
    </xf>
    <xf numFmtId="0" fontId="3" fillId="23" borderId="0" xfId="0" applyFont="1" applyFill="1" applyBorder="1" applyAlignment="1">
      <alignment/>
    </xf>
    <xf numFmtId="0" fontId="8" fillId="24" borderId="0" xfId="0" applyFont="1" applyFill="1" applyAlignment="1">
      <alignment horizontal="right"/>
    </xf>
    <xf numFmtId="0" fontId="3" fillId="24" borderId="0" xfId="0" applyFont="1" applyFill="1" applyBorder="1" applyAlignment="1">
      <alignment/>
    </xf>
    <xf numFmtId="0" fontId="7" fillId="24" borderId="0" xfId="0" applyFont="1" applyFill="1" applyAlignment="1">
      <alignment horizontal="right"/>
    </xf>
    <xf numFmtId="0" fontId="3" fillId="19" borderId="0" xfId="0" applyFont="1" applyFill="1" applyAlignment="1">
      <alignment/>
    </xf>
    <xf numFmtId="165" fontId="3" fillId="0" borderId="0" xfId="0" applyNumberFormat="1" applyFont="1" applyAlignment="1">
      <alignment wrapText="1"/>
    </xf>
    <xf numFmtId="0" fontId="3" fillId="23" borderId="0" xfId="0" applyFont="1" applyFill="1" applyAlignment="1">
      <alignment horizontal="left"/>
    </xf>
    <xf numFmtId="0" fontId="3" fillId="23" borderId="0" xfId="0" applyFont="1" applyFill="1" applyBorder="1" applyAlignment="1">
      <alignment horizontal="left"/>
    </xf>
    <xf numFmtId="15" fontId="3" fillId="23" borderId="0" xfId="0" applyNumberFormat="1" applyFont="1" applyFill="1" applyBorder="1" applyAlignment="1">
      <alignment horizontal="left"/>
    </xf>
    <xf numFmtId="0" fontId="13" fillId="25" borderId="0" xfId="0" applyFont="1" applyFill="1" applyAlignment="1">
      <alignment/>
    </xf>
    <xf numFmtId="0" fontId="3" fillId="25" borderId="0" xfId="0" applyFont="1" applyFill="1" applyAlignment="1">
      <alignment/>
    </xf>
    <xf numFmtId="2" fontId="3" fillId="24" borderId="0" xfId="0" applyNumberFormat="1" applyFont="1" applyFill="1" applyAlignment="1">
      <alignment/>
    </xf>
    <xf numFmtId="0" fontId="3" fillId="25" borderId="0" xfId="0" applyFont="1" applyFill="1" applyAlignment="1">
      <alignment wrapText="1"/>
    </xf>
    <xf numFmtId="0" fontId="39" fillId="24" borderId="0" xfId="0" applyFont="1" applyFill="1" applyAlignment="1">
      <alignment horizontal="right"/>
    </xf>
    <xf numFmtId="9" fontId="40" fillId="0" borderId="0" xfId="0" applyNumberFormat="1" applyFont="1" applyBorder="1" applyAlignment="1">
      <alignment horizontal="center"/>
    </xf>
    <xf numFmtId="0" fontId="3" fillId="23" borderId="0" xfId="0" applyFont="1" applyFill="1" applyAlignment="1">
      <alignment horizontal="left" wrapText="1"/>
    </xf>
    <xf numFmtId="0" fontId="13" fillId="25" borderId="10" xfId="0" applyFont="1" applyFill="1" applyBorder="1" applyAlignment="1">
      <alignment horizontal="center"/>
    </xf>
    <xf numFmtId="0" fontId="41" fillId="0" borderId="10" xfId="0" applyFont="1" applyBorder="1" applyAlignment="1">
      <alignment wrapText="1"/>
    </xf>
    <xf numFmtId="0" fontId="42" fillId="0" borderId="0" xfId="0" applyFont="1" applyAlignment="1">
      <alignment/>
    </xf>
    <xf numFmtId="0" fontId="43" fillId="0" borderId="10" xfId="0" applyFont="1" applyBorder="1" applyAlignment="1">
      <alignment/>
    </xf>
    <xf numFmtId="0" fontId="44" fillId="0" borderId="0" xfId="0" applyFont="1" applyAlignment="1">
      <alignment/>
    </xf>
    <xf numFmtId="0" fontId="43" fillId="25" borderId="10" xfId="0" applyFont="1" applyFill="1" applyBorder="1" applyAlignment="1">
      <alignment horizontal="right"/>
    </xf>
    <xf numFmtId="0" fontId="43" fillId="25" borderId="0" xfId="0" applyFont="1" applyFill="1" applyAlignment="1">
      <alignment horizontal="right"/>
    </xf>
    <xf numFmtId="0" fontId="3" fillId="9" borderId="0" xfId="0" applyFont="1" applyFill="1" applyAlignment="1">
      <alignment/>
    </xf>
    <xf numFmtId="0" fontId="3" fillId="19" borderId="0" xfId="0" applyFont="1" applyFill="1" applyAlignment="1">
      <alignment horizontal="left"/>
    </xf>
    <xf numFmtId="0" fontId="45" fillId="25" borderId="0" xfId="0" applyFont="1" applyFill="1" applyAlignment="1">
      <alignment/>
    </xf>
    <xf numFmtId="165" fontId="3" fillId="19" borderId="0" xfId="0" applyNumberFormat="1" applyFont="1" applyFill="1" applyAlignment="1">
      <alignment wrapText="1"/>
    </xf>
    <xf numFmtId="0" fontId="46" fillId="24" borderId="0" xfId="0" applyFont="1" applyFill="1" applyAlignment="1">
      <alignment wrapText="1"/>
    </xf>
    <xf numFmtId="0" fontId="18" fillId="0" borderId="0" xfId="0" applyFont="1" applyAlignment="1">
      <alignment/>
    </xf>
    <xf numFmtId="0" fontId="18" fillId="0" borderId="0" xfId="0" applyFont="1" applyAlignment="1">
      <alignment wrapText="1"/>
    </xf>
    <xf numFmtId="0" fontId="19" fillId="0" borderId="0" xfId="0" applyFont="1" applyAlignment="1">
      <alignment/>
    </xf>
    <xf numFmtId="0" fontId="47" fillId="3" borderId="0" xfId="0" applyFont="1" applyFill="1" applyAlignment="1">
      <alignment wrapText="1"/>
    </xf>
    <xf numFmtId="0" fontId="19" fillId="3" borderId="0" xfId="0" applyFont="1" applyFill="1" applyAlignment="1">
      <alignment wrapText="1"/>
    </xf>
    <xf numFmtId="0" fontId="48" fillId="3" borderId="0" xfId="0" applyFont="1" applyFill="1" applyAlignment="1">
      <alignment wrapText="1"/>
    </xf>
    <xf numFmtId="0" fontId="49" fillId="3" borderId="0" xfId="0" applyFont="1" applyFill="1" applyAlignment="1">
      <alignment wrapText="1"/>
    </xf>
    <xf numFmtId="0" fontId="49" fillId="15" borderId="0" xfId="0" applyFont="1" applyFill="1" applyAlignment="1">
      <alignment wrapText="1"/>
    </xf>
    <xf numFmtId="0" fontId="19" fillId="15" borderId="0" xfId="0" applyFont="1" applyFill="1" applyAlignment="1">
      <alignment/>
    </xf>
    <xf numFmtId="0" fontId="19" fillId="0" borderId="0" xfId="0" applyFont="1" applyAlignment="1">
      <alignment wrapText="1"/>
    </xf>
    <xf numFmtId="0" fontId="50" fillId="3" borderId="0" xfId="0" applyFont="1" applyFill="1" applyAlignment="1">
      <alignment wrapText="1"/>
    </xf>
    <xf numFmtId="0" fontId="51" fillId="24" borderId="0" xfId="0" applyFont="1" applyFill="1" applyAlignment="1">
      <alignment wrapText="1"/>
    </xf>
    <xf numFmtId="0" fontId="43" fillId="0" borderId="0" xfId="0" applyFont="1" applyFill="1" applyAlignment="1">
      <alignment horizontal="right"/>
    </xf>
    <xf numFmtId="0" fontId="8" fillId="0" borderId="0" xfId="0" applyFont="1" applyFill="1" applyAlignment="1">
      <alignment horizontal="left"/>
    </xf>
    <xf numFmtId="0" fontId="3" fillId="0" borderId="0" xfId="0" applyFont="1" applyFill="1" applyAlignment="1">
      <alignment wrapText="1"/>
    </xf>
    <xf numFmtId="1" fontId="3" fillId="0" borderId="0" xfId="0" applyNumberFormat="1" applyFont="1" applyFill="1" applyAlignment="1">
      <alignment wrapText="1"/>
    </xf>
    <xf numFmtId="0" fontId="3" fillId="18" borderId="0" xfId="0" applyFont="1" applyFill="1" applyAlignment="1" quotePrefix="1">
      <alignment/>
    </xf>
    <xf numFmtId="0" fontId="3" fillId="18" borderId="0" xfId="0" applyFont="1" applyFill="1" applyAlignment="1">
      <alignment/>
    </xf>
    <xf numFmtId="2" fontId="3" fillId="23" borderId="0" xfId="0" applyNumberFormat="1" applyFont="1" applyFill="1" applyAlignment="1">
      <alignment horizontal="right"/>
    </xf>
    <xf numFmtId="164" fontId="3" fillId="23" borderId="13" xfId="0" applyNumberFormat="1" applyFont="1" applyFill="1" applyBorder="1" applyAlignment="1">
      <alignment/>
    </xf>
    <xf numFmtId="0" fontId="8" fillId="18" borderId="12" xfId="0" applyFont="1" applyFill="1" applyBorder="1" applyAlignment="1">
      <alignment horizontal="right"/>
    </xf>
    <xf numFmtId="0" fontId="8" fillId="18" borderId="12" xfId="0" applyFont="1" applyFill="1" applyBorder="1" applyAlignment="1">
      <alignment horizontal="left"/>
    </xf>
    <xf numFmtId="164" fontId="8" fillId="18" borderId="12" xfId="0" applyNumberFormat="1" applyFont="1" applyFill="1" applyBorder="1" applyAlignment="1">
      <alignment horizontal="right"/>
    </xf>
    <xf numFmtId="0" fontId="3" fillId="18" borderId="12" xfId="0" applyFont="1" applyFill="1" applyBorder="1" applyAlignment="1" quotePrefix="1">
      <alignment horizontal="right"/>
    </xf>
    <xf numFmtId="1" fontId="3" fillId="18" borderId="12" xfId="0" applyNumberFormat="1" applyFont="1" applyFill="1" applyBorder="1" applyAlignment="1">
      <alignment wrapText="1"/>
    </xf>
    <xf numFmtId="0" fontId="21" fillId="0" borderId="0" xfId="0" applyFont="1" applyAlignment="1">
      <alignment/>
    </xf>
    <xf numFmtId="164" fontId="11" fillId="18" borderId="0" xfId="0" applyNumberFormat="1" applyFont="1" applyFill="1" applyAlignment="1">
      <alignment/>
    </xf>
    <xf numFmtId="0" fontId="21" fillId="0" borderId="15" xfId="0" applyFont="1" applyBorder="1" applyAlignment="1">
      <alignment/>
    </xf>
    <xf numFmtId="164" fontId="11" fillId="18" borderId="15" xfId="0" applyNumberFormat="1" applyFont="1" applyFill="1" applyBorder="1" applyAlignment="1">
      <alignment/>
    </xf>
    <xf numFmtId="0" fontId="11" fillId="18" borderId="15" xfId="0" applyFont="1" applyFill="1" applyBorder="1" applyAlignment="1">
      <alignment/>
    </xf>
    <xf numFmtId="0" fontId="3" fillId="0" borderId="15" xfId="0" applyFont="1" applyBorder="1" applyAlignment="1">
      <alignment/>
    </xf>
    <xf numFmtId="164" fontId="40" fillId="0" borderId="0" xfId="0" applyNumberFormat="1" applyFont="1" applyFill="1" applyBorder="1" applyAlignment="1">
      <alignment horizontal="center"/>
    </xf>
    <xf numFmtId="0" fontId="40" fillId="0" borderId="0" xfId="0" applyFont="1" applyFill="1" applyBorder="1" applyAlignment="1">
      <alignment horizontal="left"/>
    </xf>
    <xf numFmtId="0" fontId="3" fillId="18" borderId="12" xfId="0" applyFont="1" applyFill="1" applyBorder="1" applyAlignment="1">
      <alignment horizontal="right"/>
    </xf>
    <xf numFmtId="164" fontId="3" fillId="18" borderId="12" xfId="0" applyNumberFormat="1" applyFont="1" applyFill="1" applyBorder="1" applyAlignment="1">
      <alignment/>
    </xf>
    <xf numFmtId="0" fontId="8" fillId="18" borderId="12" xfId="0" applyFont="1" applyFill="1" applyBorder="1" applyAlignment="1">
      <alignment horizontal="left"/>
    </xf>
    <xf numFmtId="0" fontId="8" fillId="18" borderId="0" xfId="0" applyFont="1" applyFill="1" applyAlignment="1">
      <alignment horizontal="left"/>
    </xf>
    <xf numFmtId="0" fontId="13" fillId="0" borderId="0" xfId="0" applyFont="1" applyAlignment="1">
      <alignment horizontal="right" wrapText="1"/>
    </xf>
    <xf numFmtId="0" fontId="13" fillId="0" borderId="0" xfId="0" applyFont="1" applyAlignment="1">
      <alignment horizontal="right"/>
    </xf>
    <xf numFmtId="0" fontId="14" fillId="23" borderId="0" xfId="0" applyFont="1" applyFill="1" applyAlignment="1">
      <alignment/>
    </xf>
    <xf numFmtId="0" fontId="3" fillId="23" borderId="0" xfId="0" applyFont="1" applyFill="1" applyAlignment="1">
      <alignment/>
    </xf>
    <xf numFmtId="0" fontId="1" fillId="19" borderId="0" xfId="0" applyFont="1" applyFill="1" applyAlignment="1">
      <alignment/>
    </xf>
    <xf numFmtId="0" fontId="2" fillId="19" borderId="0" xfId="0" applyFont="1" applyFill="1" applyAlignment="1">
      <alignment/>
    </xf>
    <xf numFmtId="0" fontId="15" fillId="19" borderId="0" xfId="0" applyFont="1" applyFill="1" applyAlignment="1">
      <alignment/>
    </xf>
    <xf numFmtId="0" fontId="52" fillId="0" borderId="0" xfId="0" applyFont="1" applyBorder="1" applyAlignment="1">
      <alignment wrapText="1"/>
    </xf>
    <xf numFmtId="3" fontId="8" fillId="18" borderId="12" xfId="0" applyNumberFormat="1" applyFont="1" applyFill="1" applyBorder="1" applyAlignment="1">
      <alignment horizontal="right"/>
    </xf>
    <xf numFmtId="3" fontId="52" fillId="0" borderId="0" xfId="0" applyNumberFormat="1" applyFont="1" applyBorder="1" applyAlignment="1">
      <alignment wrapText="1"/>
    </xf>
    <xf numFmtId="3" fontId="52" fillId="0" borderId="0" xfId="0" applyNumberFormat="1" applyFont="1" applyFill="1" applyBorder="1" applyAlignment="1">
      <alignment horizontal="left"/>
    </xf>
    <xf numFmtId="3" fontId="3" fillId="18" borderId="12" xfId="0" applyNumberFormat="1" applyFont="1" applyFill="1" applyBorder="1" applyAlignment="1">
      <alignment wrapText="1"/>
    </xf>
    <xf numFmtId="3" fontId="3" fillId="18" borderId="0" xfId="0" applyNumberFormat="1" applyFont="1" applyFill="1" applyAlignment="1">
      <alignment wrapText="1"/>
    </xf>
    <xf numFmtId="3" fontId="3" fillId="0" borderId="0" xfId="0" applyNumberFormat="1" applyFont="1" applyFill="1" applyBorder="1" applyAlignment="1">
      <alignment/>
    </xf>
    <xf numFmtId="166" fontId="3" fillId="18" borderId="12" xfId="0" applyNumberFormat="1" applyFont="1" applyFill="1" applyBorder="1" applyAlignment="1">
      <alignment/>
    </xf>
    <xf numFmtId="3" fontId="3" fillId="23" borderId="0" xfId="0" applyNumberFormat="1" applyFont="1" applyFill="1" applyBorder="1" applyAlignment="1">
      <alignment horizontal="left"/>
    </xf>
    <xf numFmtId="0" fontId="3" fillId="18" borderId="15" xfId="0" applyFont="1" applyFill="1" applyBorder="1" applyAlignment="1">
      <alignment/>
    </xf>
    <xf numFmtId="0" fontId="3" fillId="11" borderId="13" xfId="0" applyFont="1" applyFill="1" applyBorder="1" applyAlignment="1">
      <alignment wrapText="1"/>
    </xf>
    <xf numFmtId="0" fontId="3" fillId="11" borderId="13" xfId="0" applyFont="1" applyFill="1" applyBorder="1" applyAlignment="1">
      <alignment/>
    </xf>
    <xf numFmtId="2" fontId="53" fillId="24" borderId="0" xfId="0" applyNumberFormat="1" applyFont="1" applyFill="1" applyAlignment="1">
      <alignment/>
    </xf>
    <xf numFmtId="0" fontId="53" fillId="24" borderId="0" xfId="0" applyFont="1" applyFill="1" applyAlignment="1">
      <alignment/>
    </xf>
    <xf numFmtId="3" fontId="3" fillId="0" borderId="0" xfId="0" applyNumberFormat="1" applyFont="1" applyFill="1" applyAlignment="1">
      <alignment wrapText="1"/>
    </xf>
    <xf numFmtId="0" fontId="52" fillId="0" borderId="0" xfId="0" applyFont="1" applyBorder="1" applyAlignment="1">
      <alignment/>
    </xf>
    <xf numFmtId="164" fontId="40" fillId="0" borderId="0" xfId="0" applyNumberFormat="1" applyFont="1" applyBorder="1" applyAlignment="1">
      <alignment horizontal="center"/>
    </xf>
    <xf numFmtId="2" fontId="3" fillId="23" borderId="0" xfId="0" applyNumberFormat="1" applyFont="1" applyFill="1" applyAlignment="1">
      <alignment/>
    </xf>
    <xf numFmtId="0" fontId="3" fillId="18" borderId="12" xfId="0" applyFont="1" applyFill="1" applyBorder="1" applyAlignment="1">
      <alignment/>
    </xf>
    <xf numFmtId="0" fontId="1" fillId="26" borderId="0" xfId="0" applyFont="1" applyFill="1" applyAlignment="1">
      <alignment/>
    </xf>
    <xf numFmtId="0" fontId="2" fillId="26" borderId="0" xfId="0" applyFont="1" applyFill="1" applyAlignment="1">
      <alignment/>
    </xf>
    <xf numFmtId="0" fontId="15" fillId="26" borderId="0" xfId="0" applyFont="1" applyFill="1" applyAlignment="1">
      <alignment/>
    </xf>
    <xf numFmtId="0" fontId="3" fillId="26" borderId="0" xfId="0" applyFont="1" applyFill="1" applyAlignment="1">
      <alignment/>
    </xf>
    <xf numFmtId="0" fontId="13" fillId="25" borderId="0" xfId="0" applyFont="1" applyFill="1" applyAlignment="1">
      <alignment horizontal="center"/>
    </xf>
    <xf numFmtId="0" fontId="3" fillId="18" borderId="0" xfId="0" applyFont="1" applyFill="1" applyBorder="1" applyAlignment="1">
      <alignment horizontal="right"/>
    </xf>
    <xf numFmtId="3" fontId="3" fillId="0" borderId="0" xfId="0" applyNumberFormat="1" applyFont="1" applyFill="1" applyBorder="1" applyAlignment="1">
      <alignment wrapText="1"/>
    </xf>
    <xf numFmtId="0" fontId="8" fillId="0" borderId="0" xfId="0" applyFont="1" applyFill="1" applyBorder="1" applyAlignment="1">
      <alignment horizontal="left"/>
    </xf>
    <xf numFmtId="0" fontId="53" fillId="24" borderId="0" xfId="0" applyFont="1" applyFill="1" applyBorder="1" applyAlignment="1">
      <alignment horizontal="left"/>
    </xf>
    <xf numFmtId="164" fontId="53" fillId="24" borderId="0" xfId="0" applyNumberFormat="1" applyFont="1" applyFill="1" applyAlignment="1">
      <alignment horizontal="right"/>
    </xf>
    <xf numFmtId="0" fontId="14" fillId="0" borderId="0" xfId="0" applyFont="1" applyFill="1" applyAlignment="1">
      <alignment wrapText="1"/>
    </xf>
    <xf numFmtId="0" fontId="3" fillId="22" borderId="12" xfId="0" applyFont="1" applyFill="1" applyBorder="1" applyAlignment="1">
      <alignment/>
    </xf>
    <xf numFmtId="0" fontId="3" fillId="10" borderId="0" xfId="0" applyFont="1" applyFill="1" applyAlignment="1">
      <alignment horizontal="center"/>
    </xf>
    <xf numFmtId="2" fontId="3" fillId="22" borderId="12" xfId="0" applyNumberFormat="1" applyFont="1" applyFill="1" applyBorder="1" applyAlignment="1">
      <alignment/>
    </xf>
    <xf numFmtId="2" fontId="3" fillId="22" borderId="12" xfId="0" applyNumberFormat="1" applyFont="1" applyFill="1" applyBorder="1" applyAlignment="1">
      <alignment wrapText="1"/>
    </xf>
    <xf numFmtId="2" fontId="3" fillId="19" borderId="12" xfId="0" applyNumberFormat="1" applyFont="1" applyFill="1" applyBorder="1" applyAlignment="1">
      <alignment/>
    </xf>
    <xf numFmtId="2" fontId="3" fillId="19" borderId="12" xfId="0" applyNumberFormat="1" applyFont="1" applyFill="1" applyBorder="1" applyAlignment="1">
      <alignment wrapText="1"/>
    </xf>
    <xf numFmtId="0" fontId="3" fillId="10" borderId="0" xfId="0" applyFont="1" applyFill="1" applyAlignment="1">
      <alignment horizontal="center" wrapText="1"/>
    </xf>
    <xf numFmtId="0" fontId="54" fillId="24" borderId="0" xfId="0" applyFont="1" applyFill="1" applyBorder="1" applyAlignment="1">
      <alignment horizontal="left" wrapText="1"/>
    </xf>
    <xf numFmtId="0" fontId="54" fillId="24" borderId="0" xfId="0" applyFont="1" applyFill="1" applyBorder="1" applyAlignment="1">
      <alignment horizontal="left"/>
    </xf>
    <xf numFmtId="0" fontId="3" fillId="23" borderId="0" xfId="0" applyFont="1" applyFill="1" applyAlignment="1">
      <alignment/>
    </xf>
    <xf numFmtId="0" fontId="3" fillId="23" borderId="0" xfId="0" applyFont="1" applyFill="1" applyBorder="1" applyAlignment="1">
      <alignment/>
    </xf>
    <xf numFmtId="0" fontId="3" fillId="23" borderId="13" xfId="0"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wrapText="1"/>
    </xf>
    <xf numFmtId="0" fontId="7" fillId="0" borderId="0" xfId="0" applyFont="1" applyFill="1" applyBorder="1" applyAlignment="1">
      <alignment horizontal="right"/>
    </xf>
    <xf numFmtId="0" fontId="58" fillId="0" borderId="0" xfId="0" applyFont="1" applyFill="1" applyBorder="1" applyAlignment="1">
      <alignment/>
    </xf>
    <xf numFmtId="0" fontId="7" fillId="0" borderId="0" xfId="0" applyFont="1" applyAlignment="1">
      <alignment/>
    </xf>
    <xf numFmtId="0" fontId="3" fillId="0" borderId="0" xfId="0" applyFont="1" applyAlignment="1">
      <alignment horizontal="left" indent="2"/>
    </xf>
    <xf numFmtId="0" fontId="60" fillId="0" borderId="0" xfId="0" applyFont="1" applyBorder="1" applyAlignment="1">
      <alignment wrapText="1"/>
    </xf>
    <xf numFmtId="3" fontId="60" fillId="0" borderId="0" xfId="0" applyNumberFormat="1" applyFont="1" applyBorder="1" applyAlignment="1">
      <alignment wrapText="1"/>
    </xf>
    <xf numFmtId="0" fontId="59" fillId="0" borderId="0" xfId="0" applyFont="1" applyBorder="1" applyAlignment="1">
      <alignment/>
    </xf>
    <xf numFmtId="164" fontId="59" fillId="0" borderId="0" xfId="0" applyNumberFormat="1" applyFont="1" applyFill="1" applyBorder="1" applyAlignment="1">
      <alignment horizontal="center"/>
    </xf>
    <xf numFmtId="0" fontId="59" fillId="0" borderId="0" xfId="0" applyFont="1" applyFill="1" applyBorder="1" applyAlignment="1">
      <alignment horizontal="left"/>
    </xf>
    <xf numFmtId="0" fontId="3" fillId="8" borderId="0" xfId="0" applyFont="1" applyFill="1" applyBorder="1" applyAlignment="1" quotePrefix="1">
      <alignment/>
    </xf>
    <xf numFmtId="0" fontId="3" fillId="8" borderId="0" xfId="0" applyFont="1" applyFill="1" applyBorder="1" applyAlignment="1">
      <alignment/>
    </xf>
    <xf numFmtId="0" fontId="3" fillId="0" borderId="0" xfId="0" applyFont="1" applyBorder="1" applyAlignment="1">
      <alignment horizontal="right"/>
    </xf>
    <xf numFmtId="9" fontId="59" fillId="0" borderId="0" xfId="0" applyNumberFormat="1" applyFont="1" applyBorder="1" applyAlignment="1">
      <alignment horizontal="right"/>
    </xf>
    <xf numFmtId="0" fontId="3" fillId="10" borderId="0" xfId="0" applyFont="1" applyFill="1" applyAlignment="1">
      <alignment horizontal="center"/>
    </xf>
    <xf numFmtId="0" fontId="0" fillId="10" borderId="0" xfId="0" applyFill="1" applyAlignment="1">
      <alignment horizontal="center"/>
    </xf>
    <xf numFmtId="0" fontId="56" fillId="0" borderId="10" xfId="0" applyFont="1" applyFill="1" applyBorder="1" applyAlignment="1">
      <alignment wrapText="1"/>
    </xf>
    <xf numFmtId="0" fontId="0" fillId="0" borderId="10" xfId="0" applyFill="1" applyBorder="1" applyAlignment="1">
      <alignment/>
    </xf>
    <xf numFmtId="2" fontId="3" fillId="18" borderId="0" xfId="0" applyNumberFormat="1" applyFont="1" applyFill="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9"/>
  <sheetViews>
    <sheetView zoomScale="80" zoomScaleNormal="80" zoomScalePageLayoutView="0" workbookViewId="0" topLeftCell="A1">
      <selection activeCell="B10" sqref="B10"/>
    </sheetView>
  </sheetViews>
  <sheetFormatPr defaultColWidth="9.140625" defaultRowHeight="12.75"/>
  <cols>
    <col min="1" max="1" width="33.00390625" style="20" customWidth="1"/>
    <col min="2" max="2" width="18.7109375" style="20" customWidth="1"/>
    <col min="3" max="3" width="9.140625" style="20" customWidth="1"/>
    <col min="4" max="4" width="7.28125" style="20" customWidth="1"/>
    <col min="5" max="5" width="30.7109375" style="20" customWidth="1"/>
    <col min="6" max="6" width="9.28125" style="20" customWidth="1"/>
    <col min="7" max="7" width="12.57421875" style="20" customWidth="1"/>
    <col min="8" max="8" width="34.57421875" style="20" customWidth="1"/>
    <col min="9" max="16384" width="9.140625" style="20" customWidth="1"/>
  </cols>
  <sheetData>
    <row r="1" ht="18">
      <c r="A1" s="19" t="s">
        <v>20</v>
      </c>
    </row>
    <row r="2" ht="14.25">
      <c r="E2" s="21" t="s">
        <v>21</v>
      </c>
    </row>
    <row r="4" spans="1:8" ht="14.25">
      <c r="A4" s="20" t="s">
        <v>22</v>
      </c>
      <c r="B4" s="22">
        <v>28</v>
      </c>
      <c r="C4" s="20" t="s">
        <v>23</v>
      </c>
      <c r="E4" s="23" t="s">
        <v>24</v>
      </c>
      <c r="F4" s="23" t="s">
        <v>25</v>
      </c>
      <c r="G4" s="23" t="s">
        <v>26</v>
      </c>
      <c r="H4" s="23" t="s">
        <v>27</v>
      </c>
    </row>
    <row r="5" spans="1:8" ht="14.25">
      <c r="A5" s="20" t="s">
        <v>28</v>
      </c>
      <c r="B5" s="24">
        <v>400</v>
      </c>
      <c r="C5" s="20" t="s">
        <v>29</v>
      </c>
      <c r="E5" s="20" t="s">
        <v>30</v>
      </c>
      <c r="F5" s="2" t="s">
        <v>31</v>
      </c>
      <c r="G5" s="2" t="s">
        <v>32</v>
      </c>
      <c r="H5" s="25" t="s">
        <v>33</v>
      </c>
    </row>
    <row r="6" spans="1:8" ht="14.25">
      <c r="A6" s="20" t="s">
        <v>34</v>
      </c>
      <c r="B6" s="26">
        <v>13.5</v>
      </c>
      <c r="C6" s="23" t="s">
        <v>35</v>
      </c>
      <c r="D6" s="27"/>
      <c r="E6" s="20" t="s">
        <v>30</v>
      </c>
      <c r="F6" s="2" t="s">
        <v>36</v>
      </c>
      <c r="G6" s="2" t="s">
        <v>32</v>
      </c>
      <c r="H6" s="25" t="s">
        <v>33</v>
      </c>
    </row>
    <row r="7" spans="1:8" ht="14.25">
      <c r="A7" s="20" t="s">
        <v>37</v>
      </c>
      <c r="B7" s="28">
        <v>1</v>
      </c>
      <c r="C7" s="20" t="s">
        <v>8</v>
      </c>
      <c r="E7" s="29" t="s">
        <v>38</v>
      </c>
      <c r="F7" s="2" t="s">
        <v>39</v>
      </c>
      <c r="G7" s="2" t="s">
        <v>40</v>
      </c>
      <c r="H7" s="25" t="s">
        <v>41</v>
      </c>
    </row>
    <row r="8" spans="1:8" ht="14.25">
      <c r="A8" s="20" t="s">
        <v>42</v>
      </c>
      <c r="B8" s="28">
        <v>0</v>
      </c>
      <c r="C8" s="20" t="s">
        <v>8</v>
      </c>
      <c r="E8" s="20" t="s">
        <v>43</v>
      </c>
      <c r="F8" s="2" t="s">
        <v>44</v>
      </c>
      <c r="G8" s="2" t="s">
        <v>45</v>
      </c>
      <c r="H8" s="25" t="s">
        <v>33</v>
      </c>
    </row>
    <row r="9" spans="5:8" ht="14.25">
      <c r="E9" s="20" t="s">
        <v>46</v>
      </c>
      <c r="F9" s="2" t="s">
        <v>47</v>
      </c>
      <c r="G9" s="2" t="s">
        <v>48</v>
      </c>
      <c r="H9" s="25" t="s">
        <v>33</v>
      </c>
    </row>
    <row r="10" spans="1:8" ht="14.25">
      <c r="A10" s="30" t="s">
        <v>49</v>
      </c>
      <c r="B10" s="31">
        <f>IF(B4&gt;50,(1.64/(4*3.1416)*SQRT(B5*LOG(50)*10^((B6-B7+B8)/10))*1.27),(1.64/(4*3.1416)*SQRT(B5*LOG(B4)*10^((B6-B7+B8)/10))*1.27))</f>
        <v>16.816076123414277</v>
      </c>
      <c r="C10" s="30" t="s">
        <v>11</v>
      </c>
      <c r="E10" s="20" t="s">
        <v>43</v>
      </c>
      <c r="F10" s="2" t="s">
        <v>50</v>
      </c>
      <c r="G10" s="2" t="s">
        <v>51</v>
      </c>
      <c r="H10" s="25" t="s">
        <v>33</v>
      </c>
    </row>
    <row r="11" spans="5:8" ht="14.25">
      <c r="E11" s="20" t="s">
        <v>52</v>
      </c>
      <c r="F11" s="2" t="s">
        <v>53</v>
      </c>
      <c r="G11" s="2" t="s">
        <v>54</v>
      </c>
      <c r="H11" s="25" t="s">
        <v>33</v>
      </c>
    </row>
    <row r="12" spans="5:8" ht="14.25">
      <c r="E12" s="20" t="s">
        <v>55</v>
      </c>
      <c r="F12" s="2" t="s">
        <v>56</v>
      </c>
      <c r="G12" s="2" t="s">
        <v>57</v>
      </c>
      <c r="H12" s="25" t="s">
        <v>33</v>
      </c>
    </row>
    <row r="13" spans="5:8" ht="14.25">
      <c r="E13" s="20" t="s">
        <v>58</v>
      </c>
      <c r="F13" s="2" t="s">
        <v>59</v>
      </c>
      <c r="G13" s="2" t="s">
        <v>48</v>
      </c>
      <c r="H13" s="25" t="s">
        <v>33</v>
      </c>
    </row>
    <row r="14" spans="5:8" ht="14.25">
      <c r="E14" s="20" t="s">
        <v>58</v>
      </c>
      <c r="F14" s="2" t="s">
        <v>60</v>
      </c>
      <c r="G14" s="2" t="s">
        <v>48</v>
      </c>
      <c r="H14" s="25" t="s">
        <v>33</v>
      </c>
    </row>
    <row r="15" spans="5:8" ht="14.25">
      <c r="E15" s="20" t="s">
        <v>61</v>
      </c>
      <c r="F15" s="2" t="s">
        <v>62</v>
      </c>
      <c r="G15" s="2" t="s">
        <v>63</v>
      </c>
      <c r="H15" s="25" t="s">
        <v>64</v>
      </c>
    </row>
    <row r="16" spans="5:8" ht="14.25">
      <c r="E16" s="20" t="s">
        <v>65</v>
      </c>
      <c r="F16" s="2" t="s">
        <v>66</v>
      </c>
      <c r="G16" s="2" t="s">
        <v>67</v>
      </c>
      <c r="H16" s="25" t="s">
        <v>33</v>
      </c>
    </row>
    <row r="17" ht="14.25">
      <c r="A17" s="20" t="s">
        <v>68</v>
      </c>
    </row>
    <row r="18" ht="14.25">
      <c r="A18" s="20" t="s">
        <v>69</v>
      </c>
    </row>
    <row r="19" ht="14.25">
      <c r="A19" s="20" t="s">
        <v>70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23"/>
  <sheetViews>
    <sheetView zoomScale="90" zoomScaleNormal="90" zoomScalePageLayoutView="0" workbookViewId="0" topLeftCell="A1">
      <selection activeCell="F30" sqref="F30"/>
    </sheetView>
  </sheetViews>
  <sheetFormatPr defaultColWidth="9.140625" defaultRowHeight="12.75"/>
  <cols>
    <col min="1" max="1" width="51.57421875" style="1" customWidth="1"/>
    <col min="2" max="2" width="35.57421875" style="1" customWidth="1"/>
    <col min="3" max="3" width="38.7109375" style="1" customWidth="1"/>
    <col min="4" max="4" width="26.7109375" style="3" customWidth="1"/>
    <col min="5" max="5" width="21.14062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15" t="s">
        <v>144</v>
      </c>
      <c r="B1" s="116"/>
      <c r="C1" s="117"/>
      <c r="D1" s="117"/>
      <c r="E1" s="50"/>
    </row>
    <row r="2" spans="1:5" ht="12.75">
      <c r="A2" s="66" t="s">
        <v>145</v>
      </c>
      <c r="D2" s="113" t="s">
        <v>171</v>
      </c>
      <c r="E2" s="114"/>
    </row>
    <row r="3" spans="1:2" ht="12.75">
      <c r="A3" s="5" t="s">
        <v>0</v>
      </c>
      <c r="B3" s="52" t="s">
        <v>129</v>
      </c>
    </row>
    <row r="4" spans="1:2" ht="12.75">
      <c r="A4" s="5" t="s">
        <v>76</v>
      </c>
      <c r="B4" s="53" t="s">
        <v>177</v>
      </c>
    </row>
    <row r="5" spans="1:4" ht="12.75">
      <c r="A5" s="5" t="s">
        <v>77</v>
      </c>
      <c r="B5" s="53" t="s">
        <v>1</v>
      </c>
      <c r="C5" s="40"/>
      <c r="D5" s="44"/>
    </row>
    <row r="6" spans="1:5" ht="12.75">
      <c r="A6" s="5" t="s">
        <v>78</v>
      </c>
      <c r="B6" s="54">
        <v>39879</v>
      </c>
      <c r="C6" s="40"/>
      <c r="D6" s="44"/>
      <c r="E6" s="40"/>
    </row>
    <row r="7" spans="1:5" ht="14.25">
      <c r="A7" s="112" t="s">
        <v>2</v>
      </c>
      <c r="B7" s="53">
        <v>29.7</v>
      </c>
      <c r="C7" s="40" t="s">
        <v>3</v>
      </c>
      <c r="D7" s="155">
        <f>VLOOKUP(B7,A63:D80,3)</f>
        <v>1.16</v>
      </c>
      <c r="E7" s="156">
        <f>VLOOKUP(B7,A63:D80,4)</f>
        <v>2.57</v>
      </c>
    </row>
    <row r="8" spans="1:5" ht="14.25">
      <c r="A8" s="112" t="s">
        <v>71</v>
      </c>
      <c r="B8" s="46" t="s">
        <v>90</v>
      </c>
      <c r="C8" s="60">
        <f>VLOOKUP(B8,A84:B92,2)</f>
        <v>0.5</v>
      </c>
      <c r="D8" s="118" t="s">
        <v>141</v>
      </c>
      <c r="E8" s="45"/>
    </row>
    <row r="9" spans="1:5" ht="14.25">
      <c r="A9" s="112" t="s">
        <v>4</v>
      </c>
      <c r="B9" s="126">
        <v>1000</v>
      </c>
      <c r="C9" s="40" t="s">
        <v>5</v>
      </c>
      <c r="D9" s="44"/>
      <c r="E9" s="40"/>
    </row>
    <row r="10" spans="1:5" ht="12.75">
      <c r="A10" s="47"/>
      <c r="B10" s="48"/>
      <c r="C10" s="94" t="s">
        <v>6</v>
      </c>
      <c r="D10" s="119">
        <f>B9*C8</f>
        <v>500</v>
      </c>
      <c r="E10" s="95" t="s">
        <v>5</v>
      </c>
    </row>
    <row r="11" spans="1:5" ht="14.25">
      <c r="A11" s="112" t="s">
        <v>87</v>
      </c>
      <c r="B11" s="46" t="s">
        <v>83</v>
      </c>
      <c r="C11" s="60">
        <f>VLOOKUP(B11,A94:B98,2)</f>
        <v>0.5</v>
      </c>
      <c r="D11" s="120" t="s">
        <v>142</v>
      </c>
      <c r="E11" s="40"/>
    </row>
    <row r="12" spans="1:6" ht="14.25">
      <c r="A12" s="112" t="s">
        <v>85</v>
      </c>
      <c r="B12" s="46" t="s">
        <v>99</v>
      </c>
      <c r="C12" s="105">
        <f>VLOOKUP(B12,A100:D108,2)</f>
        <v>1.74</v>
      </c>
      <c r="D12" s="121" t="s">
        <v>169</v>
      </c>
      <c r="E12" s="106"/>
      <c r="F12" s="13"/>
    </row>
    <row r="13" spans="1:5" ht="14.25">
      <c r="A13" s="112" t="s">
        <v>86</v>
      </c>
      <c r="B13" s="52">
        <v>8</v>
      </c>
      <c r="C13" s="94" t="s">
        <v>88</v>
      </c>
      <c r="D13" s="96">
        <f>VLOOKUP(B12,A100:D108,4)</f>
        <v>0.34008493999538003</v>
      </c>
      <c r="E13" s="95" t="s">
        <v>8</v>
      </c>
    </row>
    <row r="14" spans="1:5" ht="12.75">
      <c r="A14" s="59"/>
      <c r="B14" s="57"/>
      <c r="C14" s="97" t="s">
        <v>138</v>
      </c>
      <c r="D14" s="122">
        <f>C11*D10*10^(-D13/10)</f>
        <v>231.17002218081976</v>
      </c>
      <c r="E14" s="95" t="s">
        <v>5</v>
      </c>
    </row>
    <row r="15" spans="1:6" ht="12.75">
      <c r="A15" s="59" t="s">
        <v>173</v>
      </c>
      <c r="B15" s="92" t="s">
        <v>116</v>
      </c>
      <c r="C15" s="90" t="str">
        <f>VLOOKUP(B15,A113:C123,3)</f>
        <v>from table 10</v>
      </c>
      <c r="D15" s="123"/>
      <c r="E15" s="110"/>
      <c r="F15" s="13"/>
    </row>
    <row r="16" spans="1:6" ht="12.75">
      <c r="A16" s="59" t="s">
        <v>172</v>
      </c>
      <c r="B16" s="130">
        <f>VLOOKUP(B15,A113:C123,2)</f>
        <v>16.8</v>
      </c>
      <c r="C16" s="131" t="s">
        <v>35</v>
      </c>
      <c r="D16" s="132"/>
      <c r="E16" s="87"/>
      <c r="F16" s="13"/>
    </row>
    <row r="17" spans="1:10" s="3" customFormat="1" ht="14.25">
      <c r="A17" s="111" t="s">
        <v>159</v>
      </c>
      <c r="B17" s="61">
        <v>9</v>
      </c>
      <c r="C17" s="45" t="s">
        <v>35</v>
      </c>
      <c r="D17" s="124"/>
      <c r="E17" s="45"/>
      <c r="F17" s="13"/>
      <c r="G17" s="1"/>
      <c r="H17" s="1"/>
      <c r="I17" s="1"/>
      <c r="J17" s="44"/>
    </row>
    <row r="18" spans="1:10" ht="12.75">
      <c r="A18" s="49"/>
      <c r="B18" s="49"/>
      <c r="C18" s="107" t="s">
        <v>139</v>
      </c>
      <c r="D18" s="125">
        <f>10^((B17-D13)/10)</f>
        <v>7.344995025602542</v>
      </c>
      <c r="E18" s="109"/>
      <c r="J18" s="36"/>
    </row>
    <row r="19" spans="1:10" ht="12.75">
      <c r="A19" s="49"/>
      <c r="B19" s="49"/>
      <c r="C19" s="107"/>
      <c r="D19" s="122">
        <f>D14*D18</f>
        <v>1697.9426629865504</v>
      </c>
      <c r="E19" s="95" t="s">
        <v>143</v>
      </c>
      <c r="J19" s="36"/>
    </row>
    <row r="20" spans="1:10" ht="12.75">
      <c r="A20" s="6" t="s">
        <v>10</v>
      </c>
      <c r="B20" s="52">
        <v>12</v>
      </c>
      <c r="C20" s="1" t="s">
        <v>130</v>
      </c>
      <c r="D20" s="1"/>
      <c r="J20" s="36"/>
    </row>
    <row r="21" spans="1:10" ht="19.5">
      <c r="A21" s="86"/>
      <c r="B21" s="71" t="str">
        <f>VLOOKUP(B7,A63:B80,2)</f>
        <v>Evaluation Required</v>
      </c>
      <c r="C21" s="55"/>
      <c r="D21" s="88"/>
      <c r="E21" s="13"/>
      <c r="J21" s="36"/>
    </row>
    <row r="22" ht="13.5" thickBot="1">
      <c r="J22" s="36"/>
    </row>
    <row r="23" spans="1:10" s="13" customFormat="1" ht="64.5" thickTop="1">
      <c r="A23" s="33" t="s">
        <v>18</v>
      </c>
      <c r="B23" s="93">
        <v>20.6</v>
      </c>
      <c r="C23" s="129" t="s">
        <v>11</v>
      </c>
      <c r="D23" s="128" t="s">
        <v>170</v>
      </c>
      <c r="E23" s="13" t="s">
        <v>174</v>
      </c>
      <c r="F23" s="1"/>
      <c r="G23" s="1"/>
      <c r="H23" s="1"/>
      <c r="I23" s="1"/>
      <c r="J23" s="37"/>
    </row>
    <row r="24" spans="1:5" ht="25.5">
      <c r="A24" s="99" t="s">
        <v>140</v>
      </c>
      <c r="B24" s="100">
        <f>IF(B7&gt;50,(D7/(4*3.1416)*SQRT(D14*LOG(50)*10^((B17)/10))*1.27),(D7/(4*3.1416)*SQRT(D14*LOG(B7)*10^((B17)/10))*1.27))</f>
        <v>6.096520725345927</v>
      </c>
      <c r="C24" s="22" t="s">
        <v>11</v>
      </c>
      <c r="D24" s="14" t="str">
        <f>CONCATENATE(CONCATENATE(CONCATENATE(D14," Watts into "),B17)," dBi Antenna")</f>
        <v>231.17002218082 Watts into 9 dBi Antenna</v>
      </c>
      <c r="E24" s="1" t="s">
        <v>131</v>
      </c>
    </row>
    <row r="25" spans="1:5" ht="15" thickBot="1">
      <c r="A25" s="101" t="s">
        <v>156</v>
      </c>
      <c r="B25" s="102">
        <f>IF(B7&gt;50,(E7/(4*3.1416)*SQRT(D14*LOG(50)*10^((B17)/10))*1.27),(E7/(4*3.1416)*SQRT(D14*LOG(B7)*10^((B17)/10))*1.27))</f>
        <v>13.506946779430201</v>
      </c>
      <c r="C25" s="103" t="s">
        <v>11</v>
      </c>
      <c r="D25" s="127"/>
      <c r="E25" s="104" t="s">
        <v>131</v>
      </c>
    </row>
    <row r="26" spans="1:4" s="17" customFormat="1" ht="18.75" thickTop="1">
      <c r="A26" s="4"/>
      <c r="B26" s="1"/>
      <c r="C26" s="1"/>
      <c r="D26" s="3"/>
    </row>
    <row r="27" ht="12.75">
      <c r="A27" s="4"/>
    </row>
    <row r="28" ht="12.75">
      <c r="A28" s="4"/>
    </row>
    <row r="29" ht="12.75">
      <c r="A29" s="4"/>
    </row>
    <row r="30" ht="12.75">
      <c r="A30" s="4"/>
    </row>
    <row r="44" ht="12.75">
      <c r="A44" s="1" t="s">
        <v>80</v>
      </c>
    </row>
    <row r="46" ht="12.75">
      <c r="A46" s="39">
        <v>1</v>
      </c>
    </row>
    <row r="47" ht="12.75">
      <c r="A47" s="39">
        <v>5</v>
      </c>
    </row>
    <row r="48" ht="12.75">
      <c r="A48" s="39">
        <v>10</v>
      </c>
    </row>
    <row r="49" ht="12.75">
      <c r="A49" s="39">
        <v>25</v>
      </c>
    </row>
    <row r="50" ht="12.75">
      <c r="A50" s="39">
        <v>50</v>
      </c>
    </row>
    <row r="51" ht="12.75">
      <c r="A51" s="39">
        <v>75</v>
      </c>
    </row>
    <row r="52" ht="12.75">
      <c r="A52" s="39">
        <v>100</v>
      </c>
    </row>
    <row r="53" ht="12.75">
      <c r="A53" s="39">
        <v>125</v>
      </c>
    </row>
    <row r="54" ht="12.75">
      <c r="A54" s="39">
        <v>150</v>
      </c>
    </row>
    <row r="55" ht="12.75">
      <c r="A55" s="39">
        <v>200</v>
      </c>
    </row>
    <row r="56" ht="12.75">
      <c r="A56" s="39">
        <v>250</v>
      </c>
    </row>
    <row r="57" ht="12.75">
      <c r="A57" s="39">
        <v>425</v>
      </c>
    </row>
    <row r="58" ht="12.75">
      <c r="A58" s="39">
        <v>500</v>
      </c>
    </row>
    <row r="59" ht="12.75">
      <c r="A59" s="39">
        <v>1000</v>
      </c>
    </row>
    <row r="60" ht="12.75">
      <c r="A60" s="39">
        <v>1500</v>
      </c>
    </row>
    <row r="61" spans="1:4" ht="12.75">
      <c r="A61" s="39">
        <v>3000</v>
      </c>
      <c r="C61" s="175" t="s">
        <v>181</v>
      </c>
      <c r="D61" s="176"/>
    </row>
    <row r="62" spans="3:4" ht="12.75">
      <c r="C62" s="149" t="s">
        <v>179</v>
      </c>
      <c r="D62" s="154" t="s">
        <v>180</v>
      </c>
    </row>
    <row r="63" spans="1:4" ht="12.75">
      <c r="A63" s="148">
        <v>1.9</v>
      </c>
      <c r="B63" s="148" t="str">
        <f>IF(B$9&gt;500,"Evaluation Required","Routine evaluation Not required")</f>
        <v>Evaluation Required</v>
      </c>
      <c r="C63" s="152">
        <v>0.24</v>
      </c>
      <c r="D63" s="153">
        <v>0.4</v>
      </c>
    </row>
    <row r="64" spans="1:4" ht="12.75">
      <c r="A64" s="148">
        <v>3.9</v>
      </c>
      <c r="B64" s="148" t="str">
        <f>IF(B$9&gt;500,"Evaluation Required","Routine evaluation Not required")</f>
        <v>Evaluation Required</v>
      </c>
      <c r="C64" s="152">
        <v>0.24</v>
      </c>
      <c r="D64" s="153">
        <v>0.55</v>
      </c>
    </row>
    <row r="65" spans="1:4" ht="12.75">
      <c r="A65" s="148">
        <v>5.1</v>
      </c>
      <c r="B65" s="148" t="str">
        <f>IF(B$9&gt;500,"Evaluation Required","Routine evaluation Not required")</f>
        <v>Evaluation Required</v>
      </c>
      <c r="C65" s="152">
        <v>0.3</v>
      </c>
      <c r="D65" s="153">
        <v>0.7</v>
      </c>
    </row>
    <row r="66" spans="1:4" ht="12.75">
      <c r="A66" s="148">
        <v>7.3</v>
      </c>
      <c r="B66" s="148" t="str">
        <f>IF(B$9&gt;500,"Evaluation Required","Routine evaluation Not required")</f>
        <v>Evaluation Required</v>
      </c>
      <c r="C66" s="152">
        <v>0.37</v>
      </c>
      <c r="D66" s="153">
        <v>0.83</v>
      </c>
    </row>
    <row r="67" spans="1:4" ht="12.75">
      <c r="A67" s="148">
        <v>10.15</v>
      </c>
      <c r="B67" s="148" t="str">
        <f>IF(B$9&gt;425,"Evaluation Required","Routine evaluation Not required")</f>
        <v>Evaluation Required</v>
      </c>
      <c r="C67" s="152">
        <v>0.477</v>
      </c>
      <c r="D67" s="153">
        <v>1.065</v>
      </c>
    </row>
    <row r="68" spans="1:4" ht="12.75">
      <c r="A68" s="148">
        <v>14.35</v>
      </c>
      <c r="B68" s="148" t="str">
        <f>IF(B$9&gt;225,"Evaluation Required","Routine evaluation Not required")</f>
        <v>Evaluation Required</v>
      </c>
      <c r="C68" s="152">
        <v>0.629</v>
      </c>
      <c r="D68" s="153">
        <v>1.404</v>
      </c>
    </row>
    <row r="69" spans="1:4" ht="12.75">
      <c r="A69" s="148">
        <v>18.16</v>
      </c>
      <c r="B69" s="148" t="str">
        <f>IF(B$9&gt;125,"Evaluation Required","Routine evaluation Not required")</f>
        <v>Evaluation Required</v>
      </c>
      <c r="C69" s="152">
        <v>0.76</v>
      </c>
      <c r="D69" s="153">
        <v>1.701</v>
      </c>
    </row>
    <row r="70" spans="1:4" ht="12.75">
      <c r="A70" s="148">
        <v>21.2</v>
      </c>
      <c r="B70" s="148" t="str">
        <f>IF(B$9&gt;100,"Evaluation Required","Routine evaluation Not required")</f>
        <v>Evaluation Required</v>
      </c>
      <c r="C70" s="152">
        <v>0.88</v>
      </c>
      <c r="D70" s="153">
        <v>1.96</v>
      </c>
    </row>
    <row r="71" spans="1:4" ht="12.75">
      <c r="A71" s="148">
        <v>24.9</v>
      </c>
      <c r="B71" s="148" t="str">
        <f>IF(B$9&gt;75,"Evaluation Required","Routine evaluation Not required")</f>
        <v>Evaluation Required</v>
      </c>
      <c r="C71" s="152">
        <v>1</v>
      </c>
      <c r="D71" s="153">
        <v>2.23</v>
      </c>
    </row>
    <row r="72" spans="1:4" ht="12.75">
      <c r="A72" s="148">
        <v>29.7</v>
      </c>
      <c r="B72" s="148" t="str">
        <f>IF(B$9&gt;50,"Evaluation Required","Routine evaluation Not required")</f>
        <v>Evaluation Required</v>
      </c>
      <c r="C72" s="152">
        <v>1.16</v>
      </c>
      <c r="D72" s="153">
        <v>2.57</v>
      </c>
    </row>
    <row r="73" spans="1:4" ht="12.75">
      <c r="A73" s="148">
        <v>50.1</v>
      </c>
      <c r="B73" s="148" t="str">
        <f>IF(B$9&gt;50,"Evaluation Required","Routine evaluation Not required")</f>
        <v>Evaluation Required</v>
      </c>
      <c r="C73" s="152">
        <v>1.09</v>
      </c>
      <c r="D73" s="153">
        <v>2.43</v>
      </c>
    </row>
    <row r="74" spans="1:4" ht="12.75">
      <c r="A74" s="148">
        <v>144.1</v>
      </c>
      <c r="B74" s="148" t="str">
        <f>IF(B$9&gt;50,"Evaluation Required","Routine evaluation Not required")</f>
        <v>Evaluation Required</v>
      </c>
      <c r="C74" s="152">
        <v>1.09</v>
      </c>
      <c r="D74" s="153">
        <v>2.43</v>
      </c>
    </row>
    <row r="75" spans="1:4" ht="12.75">
      <c r="A75" s="148">
        <v>222</v>
      </c>
      <c r="B75" s="148" t="str">
        <f>IF(B$9&gt;50,"Evaluation Required","Routine evaluation Not required")</f>
        <v>Evaluation Required</v>
      </c>
      <c r="C75" s="152">
        <v>1.09</v>
      </c>
      <c r="D75" s="153">
        <v>2.43</v>
      </c>
    </row>
    <row r="76" spans="1:4" ht="12.75">
      <c r="A76" s="148">
        <v>432</v>
      </c>
      <c r="B76" s="148" t="str">
        <f>IF(B$9&gt;70,"Evaluation Required","Routine evaluation Not required")</f>
        <v>Evaluation Required</v>
      </c>
      <c r="C76" s="152">
        <v>0.89</v>
      </c>
      <c r="D76" s="153">
        <v>1.98</v>
      </c>
    </row>
    <row r="77" spans="1:5" ht="12.75">
      <c r="A77" s="148">
        <v>903</v>
      </c>
      <c r="B77" s="148" t="str">
        <f>IF(B$9&gt;150,"Evaluation Required","Routine evaluation Not required")</f>
        <v>Evaluation Required</v>
      </c>
      <c r="C77" s="152">
        <v>0.63</v>
      </c>
      <c r="D77" s="153">
        <v>1.4</v>
      </c>
      <c r="E77" s="1" t="s">
        <v>182</v>
      </c>
    </row>
    <row r="78" spans="1:4" ht="12.75">
      <c r="A78" s="148">
        <v>1296</v>
      </c>
      <c r="B78" s="148" t="str">
        <f>IF(B$9&gt;200,"Evaluation Required","Routine evaluation Not required")</f>
        <v>Evaluation Required</v>
      </c>
      <c r="C78" s="150">
        <v>0.53</v>
      </c>
      <c r="D78" s="151">
        <v>1.195</v>
      </c>
    </row>
    <row r="79" spans="1:4" ht="12.75">
      <c r="A79" s="148">
        <v>2304</v>
      </c>
      <c r="B79" s="148" t="str">
        <f>IF(B$9&gt;250,"Evaluation Required","Routine evaluation Not required")</f>
        <v>Evaluation Required</v>
      </c>
      <c r="C79" s="150">
        <v>1.09</v>
      </c>
      <c r="D79" s="151">
        <v>2.43</v>
      </c>
    </row>
    <row r="80" spans="1:4" ht="12.75">
      <c r="A80" s="148">
        <v>3456</v>
      </c>
      <c r="B80" s="148" t="str">
        <f>IF(B$9&gt;250,"Evaluation Required","Routine evaluation Not required")</f>
        <v>Evaluation Required</v>
      </c>
      <c r="C80" s="150">
        <v>1.09</v>
      </c>
      <c r="D80" s="151">
        <v>2.43</v>
      </c>
    </row>
    <row r="83" spans="1:2" ht="12.75">
      <c r="A83" s="40"/>
      <c r="B83" s="40"/>
    </row>
    <row r="84" spans="1:4" ht="12.75">
      <c r="A84" s="42" t="s">
        <v>93</v>
      </c>
      <c r="B84" s="42">
        <v>0.3</v>
      </c>
      <c r="C84" s="3"/>
      <c r="D84" s="1"/>
    </row>
    <row r="85" spans="1:4" ht="12.75">
      <c r="A85" s="42" t="s">
        <v>92</v>
      </c>
      <c r="B85" s="42">
        <v>0.5</v>
      </c>
      <c r="C85" s="3"/>
      <c r="D85" s="1"/>
    </row>
    <row r="86" spans="1:4" ht="12.75">
      <c r="A86" s="42" t="s">
        <v>97</v>
      </c>
      <c r="B86" s="42">
        <v>0.6</v>
      </c>
      <c r="C86" s="3"/>
      <c r="D86" s="1"/>
    </row>
    <row r="87" spans="1:4" ht="12.75">
      <c r="A87" s="42" t="s">
        <v>96</v>
      </c>
      <c r="B87" s="42">
        <v>1</v>
      </c>
      <c r="C87" s="3"/>
      <c r="D87" s="1"/>
    </row>
    <row r="88" spans="1:4" ht="12.75">
      <c r="A88" s="42" t="s">
        <v>94</v>
      </c>
      <c r="B88" s="42">
        <v>0.4</v>
      </c>
      <c r="C88" s="3"/>
      <c r="D88" s="1"/>
    </row>
    <row r="89" spans="1:4" ht="12.75">
      <c r="A89" s="42" t="s">
        <v>89</v>
      </c>
      <c r="B89" s="42">
        <v>0.2</v>
      </c>
      <c r="C89" s="3"/>
      <c r="D89" s="1"/>
    </row>
    <row r="90" spans="1:4" ht="12.75">
      <c r="A90" s="42" t="s">
        <v>90</v>
      </c>
      <c r="B90" s="42">
        <v>0.5</v>
      </c>
      <c r="C90" s="3"/>
      <c r="D90" s="1"/>
    </row>
    <row r="91" spans="1:4" ht="12.75">
      <c r="A91" s="42" t="s">
        <v>95</v>
      </c>
      <c r="B91" s="42">
        <v>1</v>
      </c>
      <c r="C91" s="3"/>
      <c r="D91" s="1"/>
    </row>
    <row r="92" spans="1:4" ht="12.75">
      <c r="A92" s="42" t="s">
        <v>91</v>
      </c>
      <c r="B92" s="42">
        <v>1</v>
      </c>
      <c r="C92" s="3"/>
      <c r="D92" s="1"/>
    </row>
    <row r="93" spans="1:2" ht="12.75">
      <c r="A93" s="40"/>
      <c r="B93" s="40"/>
    </row>
    <row r="94" spans="1:2" ht="12.75">
      <c r="A94" s="42" t="s">
        <v>84</v>
      </c>
      <c r="B94" s="43">
        <v>1</v>
      </c>
    </row>
    <row r="95" spans="1:2" ht="12.75">
      <c r="A95" s="42" t="s">
        <v>150</v>
      </c>
      <c r="B95" s="43">
        <v>0.3</v>
      </c>
    </row>
    <row r="96" spans="1:2" ht="12.75">
      <c r="A96" s="42" t="s">
        <v>83</v>
      </c>
      <c r="B96" s="43">
        <v>0.5</v>
      </c>
    </row>
    <row r="97" spans="1:2" ht="12.75">
      <c r="A97" s="42" t="s">
        <v>81</v>
      </c>
      <c r="B97" s="43">
        <v>0.5</v>
      </c>
    </row>
    <row r="98" spans="1:2" ht="12.75">
      <c r="A98" s="42" t="s">
        <v>82</v>
      </c>
      <c r="B98" s="43">
        <v>1</v>
      </c>
    </row>
    <row r="100" spans="1:5" ht="12.75">
      <c r="A100" s="70">
        <v>9913</v>
      </c>
      <c r="B100" s="50">
        <v>0.9</v>
      </c>
      <c r="C100" s="50"/>
      <c r="D100" s="72">
        <f aca="true" t="shared" si="0" ref="D100:D108">B100*((B$7/50)^0.566)*B$13/30.48</f>
        <v>0.17590600344588625</v>
      </c>
      <c r="E100" s="1" t="s">
        <v>149</v>
      </c>
    </row>
    <row r="101" spans="1:4" ht="12.75">
      <c r="A101" s="50" t="s">
        <v>100</v>
      </c>
      <c r="B101" s="50">
        <v>1.5</v>
      </c>
      <c r="C101" s="50" t="s">
        <v>148</v>
      </c>
      <c r="D101" s="72">
        <f t="shared" si="0"/>
        <v>0.2931766724098104</v>
      </c>
    </row>
    <row r="102" spans="1:4" ht="12.75">
      <c r="A102" s="50" t="s">
        <v>101</v>
      </c>
      <c r="B102" s="50">
        <v>0.5</v>
      </c>
      <c r="C102" s="50"/>
      <c r="D102" s="72">
        <f t="shared" si="0"/>
        <v>0.0977255574699368</v>
      </c>
    </row>
    <row r="103" spans="1:4" ht="12.75">
      <c r="A103" s="50" t="s">
        <v>102</v>
      </c>
      <c r="B103" s="50">
        <v>0.3</v>
      </c>
      <c r="C103" s="50"/>
      <c r="D103" s="72">
        <f t="shared" si="0"/>
        <v>0.05863533448196208</v>
      </c>
    </row>
    <row r="104" spans="1:4" ht="12.75">
      <c r="A104" s="50" t="s">
        <v>137</v>
      </c>
      <c r="B104" s="50">
        <v>0.3</v>
      </c>
      <c r="C104" s="50"/>
      <c r="D104" s="72">
        <f t="shared" si="0"/>
        <v>0.05863533448196208</v>
      </c>
    </row>
    <row r="105" spans="1:4" ht="12.75">
      <c r="A105" s="50" t="s">
        <v>99</v>
      </c>
      <c r="B105" s="50">
        <v>1.74</v>
      </c>
      <c r="C105" s="50"/>
      <c r="D105" s="72">
        <f t="shared" si="0"/>
        <v>0.34008493999538003</v>
      </c>
    </row>
    <row r="106" spans="1:4" ht="12.75">
      <c r="A106" s="50" t="s">
        <v>104</v>
      </c>
      <c r="B106" s="50">
        <v>2</v>
      </c>
      <c r="C106" s="50"/>
      <c r="D106" s="72">
        <f t="shared" si="0"/>
        <v>0.3909022298797472</v>
      </c>
    </row>
    <row r="107" spans="1:4" ht="12.75">
      <c r="A107" s="50" t="s">
        <v>103</v>
      </c>
      <c r="B107" s="50">
        <v>3.5</v>
      </c>
      <c r="C107" s="50"/>
      <c r="D107" s="72">
        <f t="shared" si="0"/>
        <v>0.6840789022895575</v>
      </c>
    </row>
    <row r="108" spans="1:4" ht="12.75">
      <c r="A108" s="50" t="s">
        <v>98</v>
      </c>
      <c r="B108" s="50">
        <v>2.1</v>
      </c>
      <c r="C108" s="50"/>
      <c r="D108" s="72">
        <f t="shared" si="0"/>
        <v>0.41044734137373456</v>
      </c>
    </row>
    <row r="110" ht="12.75">
      <c r="A110" s="56" t="b">
        <v>1</v>
      </c>
    </row>
    <row r="111" ht="12.75">
      <c r="A111" s="56" t="b">
        <v>0</v>
      </c>
    </row>
    <row r="113" spans="1:3" ht="12.75">
      <c r="A113" s="91" t="s">
        <v>116</v>
      </c>
      <c r="B113" s="91">
        <v>16.8</v>
      </c>
      <c r="C113" s="91" t="s">
        <v>160</v>
      </c>
    </row>
    <row r="114" spans="1:3" ht="12.75">
      <c r="A114" s="91" t="s">
        <v>132</v>
      </c>
      <c r="B114" s="91">
        <v>0</v>
      </c>
      <c r="C114" s="91" t="s">
        <v>161</v>
      </c>
    </row>
    <row r="115" spans="1:3" ht="12.75">
      <c r="A115" s="91" t="s">
        <v>115</v>
      </c>
      <c r="B115" s="91">
        <v>4</v>
      </c>
      <c r="C115" s="91" t="s">
        <v>162</v>
      </c>
    </row>
    <row r="116" spans="1:3" ht="12.75">
      <c r="A116" s="91" t="s">
        <v>117</v>
      </c>
      <c r="B116" s="91">
        <v>24</v>
      </c>
      <c r="C116" s="91" t="s">
        <v>163</v>
      </c>
    </row>
    <row r="117" spans="1:3" ht="12.75">
      <c r="A117" s="91" t="s">
        <v>114</v>
      </c>
      <c r="B117" s="91">
        <v>2</v>
      </c>
      <c r="C117" s="91" t="s">
        <v>164</v>
      </c>
    </row>
    <row r="118" spans="1:3" ht="12.75">
      <c r="A118" s="91" t="s">
        <v>118</v>
      </c>
      <c r="B118" s="91">
        <v>2</v>
      </c>
      <c r="C118" s="91" t="s">
        <v>165</v>
      </c>
    </row>
    <row r="119" spans="1:3" ht="12.75">
      <c r="A119" s="91" t="s">
        <v>119</v>
      </c>
      <c r="B119" s="91">
        <v>6.7</v>
      </c>
      <c r="C119" s="91" t="s">
        <v>166</v>
      </c>
    </row>
    <row r="120" spans="1:3" ht="12.75">
      <c r="A120" s="91" t="s">
        <v>113</v>
      </c>
      <c r="B120" s="91">
        <v>1</v>
      </c>
      <c r="C120" s="91" t="s">
        <v>167</v>
      </c>
    </row>
    <row r="121" spans="1:3" ht="12.75">
      <c r="A121" s="91" t="s">
        <v>112</v>
      </c>
      <c r="B121" s="91">
        <v>8.5</v>
      </c>
      <c r="C121" s="91" t="s">
        <v>168</v>
      </c>
    </row>
    <row r="122" spans="1:3" ht="12.75">
      <c r="A122" s="91" t="s">
        <v>111</v>
      </c>
      <c r="B122" s="91">
        <v>7.5</v>
      </c>
      <c r="C122" s="91" t="s">
        <v>168</v>
      </c>
    </row>
    <row r="123" spans="1:3" ht="12.75">
      <c r="A123" s="91" t="s">
        <v>110</v>
      </c>
      <c r="B123" s="91">
        <v>7</v>
      </c>
      <c r="C123" s="91" t="s">
        <v>168</v>
      </c>
    </row>
  </sheetData>
  <sheetProtection/>
  <mergeCells count="1">
    <mergeCell ref="C61:D61"/>
  </mergeCells>
  <dataValidations count="6">
    <dataValidation type="list" allowBlank="1" showInputMessage="1" showErrorMessage="1" sqref="B15">
      <formula1>$A$113:$A$123</formula1>
    </dataValidation>
    <dataValidation type="list" allowBlank="1" showInputMessage="1" showErrorMessage="1" sqref="B11">
      <formula1>$A$94:$A$98</formula1>
    </dataValidation>
    <dataValidation type="list" allowBlank="1" showInputMessage="1" showErrorMessage="1" sqref="B9">
      <formula1>$A$46:$A$61</formula1>
    </dataValidation>
    <dataValidation type="list" allowBlank="1" showInputMessage="1" showErrorMessage="1" sqref="B8">
      <formula1>$A$84:$A$92</formula1>
    </dataValidation>
    <dataValidation type="list" allowBlank="1" showInputMessage="1" showErrorMessage="1" sqref="B7">
      <formula1>$A$63:$A$80</formula1>
    </dataValidation>
    <dataValidation type="list" allowBlank="1" showInputMessage="1" showErrorMessage="1" sqref="B12">
      <formula1>$A$100:$A$108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3"/>
  <headerFooter alignWithMargins="0">
    <oddHeader>&amp;CPage &amp;P of &amp;N</oddHeader>
    <oddFooter>&amp;C&amp;A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tabSelected="1" workbookViewId="0" topLeftCell="A1">
      <selection activeCell="G9" sqref="G9"/>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7" t="s">
        <v>79</v>
      </c>
      <c r="B1" s="138"/>
      <c r="C1" s="139"/>
      <c r="D1" s="139" t="s">
        <v>186</v>
      </c>
      <c r="E1" s="140"/>
    </row>
    <row r="2" spans="1:5" ht="12.75">
      <c r="A2" s="2" t="s">
        <v>126</v>
      </c>
      <c r="C2" s="147"/>
      <c r="D2" s="113" t="s">
        <v>171</v>
      </c>
      <c r="E2" s="114"/>
    </row>
    <row r="3" spans="1:4" ht="12.75">
      <c r="A3" s="66" t="s">
        <v>145</v>
      </c>
      <c r="D3" s="1"/>
    </row>
    <row r="4" spans="1:4" ht="12.75">
      <c r="A4" s="66" t="s">
        <v>207</v>
      </c>
      <c r="B4" s="1" t="s">
        <v>195</v>
      </c>
      <c r="D4" s="1"/>
    </row>
    <row r="5" spans="1:2" ht="12.75">
      <c r="A5" s="5" t="s">
        <v>0</v>
      </c>
      <c r="B5" s="52" t="s">
        <v>216</v>
      </c>
    </row>
    <row r="6" spans="1:3" ht="12.75">
      <c r="A6" s="5" t="s">
        <v>76</v>
      </c>
      <c r="B6" s="53"/>
      <c r="C6" s="157"/>
    </row>
    <row r="7" spans="1:4" ht="12.75">
      <c r="A7" s="5" t="s">
        <v>77</v>
      </c>
      <c r="B7" s="53" t="s">
        <v>187</v>
      </c>
      <c r="C7" s="158"/>
      <c r="D7" s="44"/>
    </row>
    <row r="8" spans="1:5" ht="12.75">
      <c r="A8" s="5" t="s">
        <v>78</v>
      </c>
      <c r="B8" s="54">
        <v>41309</v>
      </c>
      <c r="C8" s="40"/>
      <c r="D8" s="44"/>
      <c r="E8" s="40"/>
    </row>
    <row r="9" spans="1:4" s="45" customFormat="1" ht="12.75">
      <c r="A9" s="162"/>
      <c r="B9" s="160"/>
      <c r="D9" s="161"/>
    </row>
    <row r="10" spans="1:4" s="45" customFormat="1" ht="12.75">
      <c r="A10" s="163" t="s">
        <v>189</v>
      </c>
      <c r="D10" s="161"/>
    </row>
    <row r="12" ht="12.75">
      <c r="A12" s="4" t="s">
        <v>191</v>
      </c>
    </row>
    <row r="13" ht="12.75">
      <c r="A13" s="4" t="s">
        <v>192</v>
      </c>
    </row>
    <row r="15" ht="12.75">
      <c r="A15" s="4" t="s">
        <v>193</v>
      </c>
    </row>
    <row r="18" ht="12.75">
      <c r="A18" s="163" t="s">
        <v>190</v>
      </c>
    </row>
    <row r="20" ht="12.75">
      <c r="A20" s="164" t="s">
        <v>194</v>
      </c>
    </row>
    <row r="21" ht="12.75">
      <c r="A21" s="165" t="s">
        <v>213</v>
      </c>
    </row>
    <row r="22" ht="12.75">
      <c r="A22" s="165" t="s">
        <v>214</v>
      </c>
    </row>
    <row r="23" ht="12.75">
      <c r="A23" s="165"/>
    </row>
    <row r="24" ht="12.75">
      <c r="A24" s="164" t="s">
        <v>208</v>
      </c>
    </row>
    <row r="26" ht="12.75">
      <c r="A26" s="164" t="s">
        <v>209</v>
      </c>
    </row>
    <row r="28" ht="12.75">
      <c r="A28" s="164" t="s">
        <v>205</v>
      </c>
    </row>
    <row r="30" ht="12.75">
      <c r="A30" s="164" t="s">
        <v>203</v>
      </c>
    </row>
    <row r="31" ht="12.75">
      <c r="A31" s="165" t="s">
        <v>204</v>
      </c>
    </row>
    <row r="33" ht="12.75">
      <c r="A33" s="164" t="s">
        <v>196</v>
      </c>
    </row>
    <row r="34" ht="12.75">
      <c r="A34" s="165" t="s">
        <v>206</v>
      </c>
    </row>
    <row r="35" ht="12.75">
      <c r="A35" s="165" t="s">
        <v>201</v>
      </c>
    </row>
    <row r="36" ht="12.75">
      <c r="A36" s="165" t="s">
        <v>210</v>
      </c>
    </row>
    <row r="37" ht="12.75">
      <c r="A37" s="165" t="s">
        <v>197</v>
      </c>
    </row>
    <row r="38" ht="12.75">
      <c r="A38" s="165" t="s">
        <v>198</v>
      </c>
    </row>
    <row r="39" ht="12.75">
      <c r="A39" s="165" t="s">
        <v>199</v>
      </c>
    </row>
    <row r="40" ht="12.75">
      <c r="A40" s="165" t="s">
        <v>200</v>
      </c>
    </row>
    <row r="41" ht="12.75">
      <c r="A41" s="165" t="s">
        <v>202</v>
      </c>
    </row>
  </sheetData>
  <dataValidations count="1">
    <dataValidation type="list" allowBlank="1" showInputMessage="1" showErrorMessage="1" sqref="B9">
      <formula1>FREQUENCY_BAND</formula1>
    </dataValidation>
  </dataValidations>
  <printOptions gridLines="1"/>
  <pageMargins left="0.45" right="0.43" top="1" bottom="1" header="0.83" footer="0.5"/>
  <pageSetup fitToHeight="1" fitToWidth="1" horizontalDpi="1200" verticalDpi="1200" orientation="landscape" paperSize="9" scale="85" r:id="rId1"/>
  <headerFooter alignWithMargins="0">
    <oddHeader>&amp;C&amp;A</oddHeader>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12"/>
  <sheetViews>
    <sheetView zoomScale="110" zoomScaleNormal="110" zoomScalePageLayoutView="0" workbookViewId="0" topLeftCell="A1">
      <selection activeCell="A30" sqref="A30"/>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7" t="s">
        <v>215</v>
      </c>
      <c r="B1" s="138"/>
      <c r="C1" s="139"/>
      <c r="D1" s="139"/>
      <c r="E1" s="140"/>
    </row>
    <row r="2" spans="1:5" ht="12.75">
      <c r="A2" s="2" t="s">
        <v>126</v>
      </c>
      <c r="C2" s="147"/>
      <c r="D2" s="113" t="s">
        <v>171</v>
      </c>
      <c r="E2" s="114"/>
    </row>
    <row r="3" spans="1:4" ht="12.75">
      <c r="A3" s="66" t="s">
        <v>145</v>
      </c>
      <c r="D3" s="1"/>
    </row>
    <row r="4" spans="1:4" ht="12.75">
      <c r="A4" s="66" t="s">
        <v>207</v>
      </c>
      <c r="B4" s="1" t="s">
        <v>211</v>
      </c>
      <c r="D4" s="1"/>
    </row>
    <row r="5" spans="1:2" ht="12.75">
      <c r="A5" s="5" t="s">
        <v>0</v>
      </c>
      <c r="B5" s="52" t="s">
        <v>216</v>
      </c>
    </row>
    <row r="6" spans="1:3" ht="12.75">
      <c r="A6" s="5" t="s">
        <v>76</v>
      </c>
      <c r="B6" s="53" t="s">
        <v>217</v>
      </c>
      <c r="C6" s="157"/>
    </row>
    <row r="7" spans="1:4" ht="12.75">
      <c r="A7" s="5" t="s">
        <v>77</v>
      </c>
      <c r="B7" s="53" t="s">
        <v>187</v>
      </c>
      <c r="C7" s="158"/>
      <c r="D7" s="44"/>
    </row>
    <row r="8" spans="1:5" ht="12.75">
      <c r="A8" s="5" t="s">
        <v>78</v>
      </c>
      <c r="B8" s="54">
        <v>41319</v>
      </c>
      <c r="C8" s="40"/>
      <c r="D8" s="44"/>
      <c r="E8" s="40"/>
    </row>
    <row r="9" spans="1:5" ht="12.75">
      <c r="A9" s="6" t="s">
        <v>2</v>
      </c>
      <c r="B9" s="53">
        <v>21.1</v>
      </c>
      <c r="C9" s="40" t="s">
        <v>3</v>
      </c>
      <c r="D9" s="44"/>
      <c r="E9" s="40"/>
    </row>
    <row r="10" spans="1:5" ht="12.75">
      <c r="A10" s="6" t="s">
        <v>71</v>
      </c>
      <c r="B10" s="46" t="s">
        <v>90</v>
      </c>
      <c r="C10" s="174">
        <f>VLOOKUP(B10,A74:B82,2)</f>
        <v>0.5</v>
      </c>
      <c r="D10" s="166" t="s">
        <v>141</v>
      </c>
      <c r="E10" s="45"/>
    </row>
    <row r="11" spans="1:5" ht="29.25" customHeight="1">
      <c r="A11" s="6" t="s">
        <v>4</v>
      </c>
      <c r="B11" s="53">
        <v>1000</v>
      </c>
      <c r="C11" s="40" t="s">
        <v>184</v>
      </c>
      <c r="D11" s="177"/>
      <c r="E11" s="178"/>
    </row>
    <row r="12" spans="1:5" ht="12.75">
      <c r="A12" s="47"/>
      <c r="B12" s="48"/>
      <c r="C12" s="94" t="s">
        <v>6</v>
      </c>
      <c r="D12" s="94">
        <f>B11*C10</f>
        <v>500</v>
      </c>
      <c r="E12" s="95" t="s">
        <v>5</v>
      </c>
    </row>
    <row r="13" spans="1:5" ht="12.75">
      <c r="A13" s="6" t="s">
        <v>87</v>
      </c>
      <c r="B13" s="46" t="s">
        <v>83</v>
      </c>
      <c r="C13" s="174">
        <f>VLOOKUP(B13,A84:B88,2)</f>
        <v>0.5</v>
      </c>
      <c r="D13" s="167" t="s">
        <v>142</v>
      </c>
      <c r="E13" s="168"/>
    </row>
    <row r="14" spans="1:5" ht="12.75">
      <c r="A14" s="6" t="s">
        <v>85</v>
      </c>
      <c r="B14" s="46" t="s">
        <v>99</v>
      </c>
      <c r="C14" s="169">
        <f>VLOOKUP(B14,A90:D98,2)</f>
        <v>1.74</v>
      </c>
      <c r="D14" s="170" t="s">
        <v>158</v>
      </c>
      <c r="E14" s="170"/>
    </row>
    <row r="15" spans="1:5" ht="12.75">
      <c r="A15" s="6" t="s">
        <v>86</v>
      </c>
      <c r="B15" s="52">
        <v>22</v>
      </c>
      <c r="C15" s="94" t="s">
        <v>88</v>
      </c>
      <c r="D15" s="96">
        <f>VLOOKUP(B14,A90:D98,4)</f>
        <v>0.7706972577039851</v>
      </c>
      <c r="E15" s="95" t="s">
        <v>8</v>
      </c>
    </row>
    <row r="16" spans="1:5" ht="12.75">
      <c r="A16" s="59"/>
      <c r="B16" s="57"/>
      <c r="C16" s="107" t="s">
        <v>175</v>
      </c>
      <c r="D16" s="98">
        <f>C13*D12*10^(-D15/10)</f>
        <v>209.34870699915436</v>
      </c>
      <c r="E16" s="95" t="s">
        <v>5</v>
      </c>
    </row>
    <row r="17" spans="1:6" ht="12.75">
      <c r="A17" s="59" t="s">
        <v>173</v>
      </c>
      <c r="B17" s="135" t="s">
        <v>110</v>
      </c>
      <c r="C17" s="13"/>
      <c r="D17" s="89"/>
      <c r="E17" s="87"/>
      <c r="F17" s="13"/>
    </row>
    <row r="18" spans="1:6" ht="12.75">
      <c r="A18" s="59" t="s">
        <v>172</v>
      </c>
      <c r="B18" s="130">
        <f>VLOOKUP(B17,A103:B113,2)</f>
        <v>7</v>
      </c>
      <c r="C18" s="131" t="s">
        <v>35</v>
      </c>
      <c r="D18" s="89"/>
      <c r="E18" s="87"/>
      <c r="F18" s="13"/>
    </row>
    <row r="19" spans="1:10" s="3" customFormat="1" ht="12.75">
      <c r="A19" s="38" t="s">
        <v>7</v>
      </c>
      <c r="B19" s="61">
        <v>9.2</v>
      </c>
      <c r="C19" s="40" t="s">
        <v>35</v>
      </c>
      <c r="D19" s="172" t="s">
        <v>219</v>
      </c>
      <c r="E19" s="172"/>
      <c r="F19" s="13"/>
      <c r="G19" s="1"/>
      <c r="H19" s="1"/>
      <c r="I19" s="1"/>
      <c r="J19" s="44"/>
    </row>
    <row r="20" spans="1:10" s="3" customFormat="1" ht="12.75">
      <c r="A20" s="38"/>
      <c r="B20" s="61"/>
      <c r="C20" s="173" t="s">
        <v>218</v>
      </c>
      <c r="D20" s="171"/>
      <c r="E20" s="172"/>
      <c r="F20" s="13"/>
      <c r="G20" s="1"/>
      <c r="H20" s="1"/>
      <c r="I20" s="1"/>
      <c r="J20" s="44"/>
    </row>
    <row r="21" spans="1:10" ht="12.75">
      <c r="A21" s="49"/>
      <c r="B21" s="49"/>
      <c r="C21" s="136" t="s">
        <v>9</v>
      </c>
      <c r="D21" s="108">
        <f>10^((B19-D15)/10)</f>
        <v>6.9651468003633905</v>
      </c>
      <c r="E21" s="109"/>
      <c r="F21" s="13"/>
      <c r="J21" s="36"/>
    </row>
    <row r="22" spans="1:10" ht="12.75">
      <c r="A22" s="49"/>
      <c r="B22" s="49"/>
      <c r="C22" s="136" t="s">
        <v>73</v>
      </c>
      <c r="D22" s="122">
        <f>D16*D21</f>
        <v>1458.144476715373</v>
      </c>
      <c r="E22" s="95" t="s">
        <v>5</v>
      </c>
      <c r="J22" s="36"/>
    </row>
    <row r="23" spans="1:10" ht="12.75">
      <c r="A23" s="6" t="s">
        <v>10</v>
      </c>
      <c r="B23" s="52">
        <v>11</v>
      </c>
      <c r="C23" s="1" t="s">
        <v>107</v>
      </c>
      <c r="D23" s="1"/>
      <c r="J23" s="36"/>
    </row>
    <row r="24" spans="1:10" ht="12.75">
      <c r="A24" s="6" t="s">
        <v>12</v>
      </c>
      <c r="B24" s="52" t="b">
        <v>0</v>
      </c>
      <c r="D24" s="1"/>
      <c r="J24" s="36"/>
    </row>
    <row r="25" spans="1:10" ht="14.25">
      <c r="A25" s="68" t="s">
        <v>13</v>
      </c>
      <c r="B25" s="141">
        <f>IF(OR(AND(B23&lt;10,D16&gt;100),D22&gt;3200),2,1)</f>
        <v>1</v>
      </c>
      <c r="C25" s="55" t="str">
        <f>IF(B25=1,"No further action Required","Please complete assessment below")</f>
        <v>No further action Required</v>
      </c>
      <c r="D25" s="58"/>
      <c r="E25" s="56"/>
      <c r="J25" s="36"/>
    </row>
    <row r="26" ht="12.75">
      <c r="J26" s="36"/>
    </row>
    <row r="27" spans="1:10" ht="18">
      <c r="A27" s="8" t="s">
        <v>14</v>
      </c>
      <c r="B27" s="9"/>
      <c r="C27" s="9"/>
      <c r="D27" s="10"/>
      <c r="J27" s="36"/>
    </row>
    <row r="28" spans="1:10" ht="12.75">
      <c r="A28" s="1" t="s">
        <v>222</v>
      </c>
      <c r="J28" s="36"/>
    </row>
    <row r="29" spans="1:10" ht="12.75">
      <c r="A29" s="164" t="s">
        <v>223</v>
      </c>
      <c r="J29" s="36"/>
    </row>
    <row r="30" spans="1:10" ht="13.5" thickBot="1">
      <c r="A30" s="11" t="s">
        <v>16</v>
      </c>
      <c r="B30" s="11"/>
      <c r="C30" s="11"/>
      <c r="D30" s="12" t="s">
        <v>17</v>
      </c>
      <c r="J30" s="36"/>
    </row>
    <row r="31" spans="1:10" s="13" customFormat="1" ht="39" thickTop="1">
      <c r="A31" s="33" t="s">
        <v>18</v>
      </c>
      <c r="B31" s="93">
        <v>30</v>
      </c>
      <c r="C31" s="33" t="s">
        <v>11</v>
      </c>
      <c r="D31" s="159" t="s">
        <v>188</v>
      </c>
      <c r="F31" s="1"/>
      <c r="G31" s="1"/>
      <c r="H31" s="1"/>
      <c r="I31" s="1"/>
      <c r="J31" s="37"/>
    </row>
    <row r="32" spans="1:5" ht="25.5">
      <c r="A32" s="18" t="s">
        <v>74</v>
      </c>
      <c r="B32" s="32">
        <f>IF(B9&gt;50,(1.52/(4*3.1416)*SQRT(D16*LOG(50)*10^((B19)/10))*1.27),(1.72/(4*3.1416)*SQRT(D16*LOG(B9)*10^((B19)/10))*1.27))</f>
        <v>8.347313842112396</v>
      </c>
      <c r="C32" s="7" t="s">
        <v>109</v>
      </c>
      <c r="D32" s="14" t="str">
        <f>CONCATENATE(CONCATENATE(CONCATENATE(D16," Watts into "),B19)," dBi Antenna")</f>
        <v>209.348706999154 Watts into 9.2 dBi Antenna</v>
      </c>
      <c r="E32" s="1" t="s">
        <v>106</v>
      </c>
    </row>
    <row r="33" spans="2:4" ht="12.75">
      <c r="B33" s="15"/>
      <c r="C33" s="13"/>
      <c r="D33" s="13"/>
    </row>
    <row r="34" spans="1:4" ht="12.75">
      <c r="A34" s="18" t="s">
        <v>75</v>
      </c>
      <c r="B34" s="35">
        <f>IF(B9&gt;50,(1.52/(4*3.1416)*SQRT(D16*LOG(50))*1.27),(1.68/(4*3.1416)*SQRT(D16*LOG(B9))*1.27))</f>
        <v>2.8270115134144342</v>
      </c>
      <c r="C34" s="7" t="s">
        <v>109</v>
      </c>
      <c r="D34" s="16" t="s">
        <v>176</v>
      </c>
    </row>
    <row r="35" spans="1:5" ht="18">
      <c r="A35" s="67" t="s">
        <v>108</v>
      </c>
      <c r="B35" s="62" t="str">
        <f>IF(B32&lt;B31,"YES","NO")</f>
        <v>YES</v>
      </c>
      <c r="C35" s="65" t="s">
        <v>105</v>
      </c>
      <c r="D35" s="63"/>
      <c r="E35" s="64"/>
    </row>
    <row r="36" ht="12.75">
      <c r="A36" s="18"/>
    </row>
    <row r="37" ht="12.75">
      <c r="A37" s="4" t="s">
        <v>183</v>
      </c>
    </row>
    <row r="38" ht="12.75">
      <c r="A38" s="4"/>
    </row>
    <row r="39" ht="12.75">
      <c r="A39" s="4"/>
    </row>
    <row r="40" ht="12.75">
      <c r="A40" s="4"/>
    </row>
    <row r="54" ht="12.75">
      <c r="A54" s="1" t="s">
        <v>80</v>
      </c>
    </row>
    <row r="56" spans="1:2" ht="12.75">
      <c r="A56" s="39">
        <v>1</v>
      </c>
      <c r="B56" s="41">
        <v>1.8</v>
      </c>
    </row>
    <row r="57" spans="1:2" ht="12.75">
      <c r="A57" s="39">
        <v>2</v>
      </c>
      <c r="B57" s="41">
        <v>3.5</v>
      </c>
    </row>
    <row r="58" spans="1:2" ht="12.75">
      <c r="A58" s="39">
        <v>5</v>
      </c>
      <c r="B58" s="41">
        <v>5.1</v>
      </c>
    </row>
    <row r="59" spans="1:2" ht="12.75">
      <c r="A59" s="39">
        <v>10</v>
      </c>
      <c r="B59" s="41">
        <v>7.1</v>
      </c>
    </row>
    <row r="60" spans="1:2" ht="12.75">
      <c r="A60" s="39">
        <v>25</v>
      </c>
      <c r="B60" s="41">
        <v>10.1</v>
      </c>
    </row>
    <row r="61" spans="1:2" ht="12.75">
      <c r="A61" s="39">
        <v>50</v>
      </c>
      <c r="B61" s="41">
        <v>14.1</v>
      </c>
    </row>
    <row r="62" spans="1:2" ht="12.75">
      <c r="A62" s="39">
        <v>100</v>
      </c>
      <c r="B62" s="41">
        <v>18.1</v>
      </c>
    </row>
    <row r="63" spans="1:2" ht="12.75">
      <c r="A63" s="39">
        <v>200</v>
      </c>
      <c r="B63" s="41">
        <v>21.1</v>
      </c>
    </row>
    <row r="64" spans="1:2" ht="12.75">
      <c r="A64" s="39">
        <v>400</v>
      </c>
      <c r="B64" s="41">
        <v>24.8</v>
      </c>
    </row>
    <row r="65" spans="1:2" ht="12.75">
      <c r="A65" s="39">
        <v>750</v>
      </c>
      <c r="B65" s="41">
        <v>28.2</v>
      </c>
    </row>
    <row r="66" spans="1:2" ht="12.75">
      <c r="A66" s="39">
        <v>1000</v>
      </c>
      <c r="B66" s="41">
        <v>50.1</v>
      </c>
    </row>
    <row r="67" spans="1:2" ht="12.75">
      <c r="A67" s="39">
        <v>1500</v>
      </c>
      <c r="B67" s="41">
        <v>144.1</v>
      </c>
    </row>
    <row r="68" spans="1:2" ht="12.75">
      <c r="A68" s="39">
        <v>2000</v>
      </c>
      <c r="B68" s="41">
        <v>432.1</v>
      </c>
    </row>
    <row r="69" spans="1:2" ht="12.75">
      <c r="A69" s="39">
        <v>3000</v>
      </c>
      <c r="B69" s="41">
        <v>1296.1</v>
      </c>
    </row>
    <row r="70" spans="1:2" ht="12.75">
      <c r="A70" s="39">
        <v>5000</v>
      </c>
      <c r="B70" s="41"/>
    </row>
    <row r="71" spans="1:2" ht="12.75">
      <c r="A71" s="39"/>
      <c r="B71" s="41"/>
    </row>
    <row r="73" spans="1:2" ht="12.75">
      <c r="A73" s="40"/>
      <c r="B73" s="40"/>
    </row>
    <row r="74" spans="1:4" ht="12.75">
      <c r="A74" s="42" t="s">
        <v>93</v>
      </c>
      <c r="B74" s="42">
        <v>0.3</v>
      </c>
      <c r="C74" s="3"/>
      <c r="D74" s="1"/>
    </row>
    <row r="75" spans="1:4" ht="12.75">
      <c r="A75" s="42" t="s">
        <v>92</v>
      </c>
      <c r="B75" s="42">
        <v>0.5</v>
      </c>
      <c r="C75" s="3"/>
      <c r="D75" s="1"/>
    </row>
    <row r="76" spans="1:4" ht="12.75">
      <c r="A76" s="42" t="s">
        <v>97</v>
      </c>
      <c r="B76" s="42">
        <v>0.6</v>
      </c>
      <c r="C76" s="3"/>
      <c r="D76" s="1"/>
    </row>
    <row r="77" spans="1:4" ht="12.75">
      <c r="A77" s="42" t="s">
        <v>96</v>
      </c>
      <c r="B77" s="42">
        <v>1</v>
      </c>
      <c r="C77" s="3"/>
      <c r="D77" s="1"/>
    </row>
    <row r="78" spans="1:4" ht="12.75">
      <c r="A78" s="42" t="s">
        <v>94</v>
      </c>
      <c r="B78" s="42">
        <v>0.4</v>
      </c>
      <c r="C78" s="3"/>
      <c r="D78" s="1"/>
    </row>
    <row r="79" spans="1:4" ht="12.75">
      <c r="A79" s="42" t="s">
        <v>89</v>
      </c>
      <c r="B79" s="42">
        <v>0.2</v>
      </c>
      <c r="C79" s="3"/>
      <c r="D79" s="1"/>
    </row>
    <row r="80" spans="1:4" ht="12.75">
      <c r="A80" s="42" t="s">
        <v>90</v>
      </c>
      <c r="B80" s="42">
        <v>0.5</v>
      </c>
      <c r="C80" s="3"/>
      <c r="D80" s="1"/>
    </row>
    <row r="81" spans="1:4" ht="12.75">
      <c r="A81" s="42" t="s">
        <v>95</v>
      </c>
      <c r="B81" s="42">
        <v>1</v>
      </c>
      <c r="C81" s="3"/>
      <c r="D81" s="1"/>
    </row>
    <row r="82" spans="1:4" ht="12.75">
      <c r="A82" s="42" t="s">
        <v>91</v>
      </c>
      <c r="B82" s="42">
        <v>1</v>
      </c>
      <c r="C82" s="3"/>
      <c r="D82" s="1"/>
    </row>
    <row r="83" spans="1:2" ht="12.75">
      <c r="A83" s="40"/>
      <c r="B83" s="40"/>
    </row>
    <row r="84" spans="1:2" ht="12.75">
      <c r="A84" s="42" t="s">
        <v>84</v>
      </c>
      <c r="B84" s="43">
        <v>1</v>
      </c>
    </row>
    <row r="85" spans="1:2" ht="12.75">
      <c r="A85" s="42" t="s">
        <v>150</v>
      </c>
      <c r="B85" s="43">
        <v>0.3</v>
      </c>
    </row>
    <row r="86" spans="1:2" ht="12.75">
      <c r="A86" s="42" t="s">
        <v>83</v>
      </c>
      <c r="B86" s="43">
        <v>0.5</v>
      </c>
    </row>
    <row r="87" spans="1:2" ht="12.75">
      <c r="A87" s="42" t="s">
        <v>81</v>
      </c>
      <c r="B87" s="43">
        <v>0.5</v>
      </c>
    </row>
    <row r="88" spans="1:2" ht="12.75">
      <c r="A88" s="42" t="s">
        <v>82</v>
      </c>
      <c r="B88" s="43">
        <v>1</v>
      </c>
    </row>
    <row r="90" spans="1:4" ht="12.75">
      <c r="A90" s="70">
        <v>9913</v>
      </c>
      <c r="B90" s="50">
        <v>0.9</v>
      </c>
      <c r="D90" s="51">
        <f aca="true" t="shared" si="0" ref="D90:D98">B90*((B$9/50)^0.566)*B$15/30.48</f>
        <v>0.3986365126055096</v>
      </c>
    </row>
    <row r="91" spans="1:4" ht="12.75">
      <c r="A91" s="50" t="s">
        <v>100</v>
      </c>
      <c r="B91" s="50">
        <v>1.5</v>
      </c>
      <c r="C91" s="1" t="s">
        <v>136</v>
      </c>
      <c r="D91" s="51">
        <f t="shared" si="0"/>
        <v>0.6643941876758492</v>
      </c>
    </row>
    <row r="92" spans="1:4" ht="12.75">
      <c r="A92" s="50" t="s">
        <v>101</v>
      </c>
      <c r="B92" s="50">
        <v>0.5</v>
      </c>
      <c r="D92" s="51">
        <f t="shared" si="0"/>
        <v>0.2214647292252831</v>
      </c>
    </row>
    <row r="93" spans="1:4" ht="12.75">
      <c r="A93" s="50" t="s">
        <v>102</v>
      </c>
      <c r="B93" s="50">
        <v>0.3</v>
      </c>
      <c r="D93" s="51">
        <f t="shared" si="0"/>
        <v>0.13287883753516985</v>
      </c>
    </row>
    <row r="94" spans="1:4" ht="12.75">
      <c r="A94" s="50" t="s">
        <v>137</v>
      </c>
      <c r="B94" s="50">
        <v>0.3</v>
      </c>
      <c r="D94" s="51">
        <f t="shared" si="0"/>
        <v>0.13287883753516985</v>
      </c>
    </row>
    <row r="95" spans="1:4" ht="12.75">
      <c r="A95" s="50" t="s">
        <v>99</v>
      </c>
      <c r="B95" s="50">
        <v>1.74</v>
      </c>
      <c r="D95" s="51">
        <f t="shared" si="0"/>
        <v>0.7706972577039851</v>
      </c>
    </row>
    <row r="96" spans="1:4" ht="12.75">
      <c r="A96" s="50" t="s">
        <v>104</v>
      </c>
      <c r="B96" s="50">
        <v>2</v>
      </c>
      <c r="D96" s="51">
        <f t="shared" si="0"/>
        <v>0.8858589169011324</v>
      </c>
    </row>
    <row r="97" spans="1:4" ht="12.75">
      <c r="A97" s="50" t="s">
        <v>103</v>
      </c>
      <c r="B97" s="50">
        <v>3.5</v>
      </c>
      <c r="D97" s="51">
        <f t="shared" si="0"/>
        <v>1.5502531045769816</v>
      </c>
    </row>
    <row r="98" spans="1:4" ht="12.75">
      <c r="A98" s="50" t="s">
        <v>98</v>
      </c>
      <c r="B98" s="50">
        <v>2.1</v>
      </c>
      <c r="D98" s="51">
        <f t="shared" si="0"/>
        <v>0.930151862746189</v>
      </c>
    </row>
    <row r="100" ht="12.75">
      <c r="A100" s="56" t="b">
        <v>1</v>
      </c>
    </row>
    <row r="101" ht="12.75">
      <c r="A101" s="56" t="b">
        <v>0</v>
      </c>
    </row>
    <row r="103" spans="1:2" ht="12.75">
      <c r="A103" s="69" t="s">
        <v>116</v>
      </c>
      <c r="B103" s="69">
        <v>16.8</v>
      </c>
    </row>
    <row r="104" spans="1:2" ht="12.75">
      <c r="A104" s="69" t="s">
        <v>115</v>
      </c>
      <c r="B104" s="69">
        <v>4</v>
      </c>
    </row>
    <row r="105" spans="1:2" ht="12.75">
      <c r="A105" s="69" t="s">
        <v>117</v>
      </c>
      <c r="B105" s="69">
        <v>24</v>
      </c>
    </row>
    <row r="106" spans="1:2" ht="12.75">
      <c r="A106" s="69" t="s">
        <v>114</v>
      </c>
      <c r="B106" s="69">
        <v>2</v>
      </c>
    </row>
    <row r="107" spans="1:2" ht="12.75">
      <c r="A107" s="69" t="s">
        <v>118</v>
      </c>
      <c r="B107" s="69">
        <v>2</v>
      </c>
    </row>
    <row r="108" spans="1:2" ht="12.75">
      <c r="A108" s="69" t="s">
        <v>119</v>
      </c>
      <c r="B108" s="69">
        <v>6.7</v>
      </c>
    </row>
    <row r="109" spans="1:2" ht="12.75">
      <c r="A109" s="69" t="s">
        <v>113</v>
      </c>
      <c r="B109" s="69">
        <v>1</v>
      </c>
    </row>
    <row r="110" spans="1:2" ht="12.75">
      <c r="A110" s="69" t="s">
        <v>112</v>
      </c>
      <c r="B110" s="69">
        <v>8.5</v>
      </c>
    </row>
    <row r="111" spans="1:2" ht="12.75">
      <c r="A111" s="69" t="s">
        <v>111</v>
      </c>
      <c r="B111" s="69">
        <v>7.5</v>
      </c>
    </row>
    <row r="112" spans="1:2" ht="12.75">
      <c r="A112" s="69" t="s">
        <v>110</v>
      </c>
      <c r="B112" s="69">
        <v>7</v>
      </c>
    </row>
  </sheetData>
  <sheetProtection/>
  <mergeCells count="1">
    <mergeCell ref="D11:E11"/>
  </mergeCells>
  <dataValidations count="7">
    <dataValidation type="list" allowBlank="1" showInputMessage="1" showErrorMessage="1" sqref="B24">
      <formula1>$A$100:$A$101</formula1>
    </dataValidation>
    <dataValidation type="list" allowBlank="1" showInputMessage="1" showErrorMessage="1" sqref="B17">
      <formula1>$A$103:$A$112</formula1>
    </dataValidation>
    <dataValidation type="list" allowBlank="1" showInputMessage="1" showErrorMessage="1" sqref="B14">
      <formula1>$A$90:$A$98</formula1>
    </dataValidation>
    <dataValidation type="list" allowBlank="1" showInputMessage="1" showErrorMessage="1" sqref="B9">
      <formula1>FREQUENCY_BAND</formula1>
    </dataValidation>
    <dataValidation type="list" allowBlank="1" showInputMessage="1" showErrorMessage="1" sqref="B10">
      <formula1>$A$74:$A$82</formula1>
    </dataValidation>
    <dataValidation type="list" allowBlank="1" showInputMessage="1" showErrorMessage="1" sqref="B11">
      <formula1>$A$56:$A$70</formula1>
    </dataValidation>
    <dataValidation type="list" allowBlank="1" showInputMessage="1" showErrorMessage="1" sqref="B13">
      <formula1>$A$84:$A$88</formula1>
    </dataValidation>
  </dataValidations>
  <printOptions gridLines="1"/>
  <pageMargins left="0.5511811023622047" right="0.5118110236220472" top="0.7480314960629921" bottom="0.7480314960629921" header="0.5118110236220472" footer="0.5118110236220472"/>
  <pageSetup fitToHeight="1" fitToWidth="1" horizontalDpi="600" verticalDpi="600" orientation="landscape" paperSize="9" scale="72" r:id="rId3"/>
  <headerFooter alignWithMargins="0">
    <oddHeader>&amp;CPage &amp;P</oddHeader>
    <oddFooter>&amp;CPrepared by david e burger &amp;D&amp;RPage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111"/>
  <sheetViews>
    <sheetView zoomScale="90" zoomScaleNormal="90" zoomScalePageLayoutView="0" workbookViewId="0" topLeftCell="A1">
      <selection activeCell="B24" sqref="B24"/>
    </sheetView>
  </sheetViews>
  <sheetFormatPr defaultColWidth="9.140625" defaultRowHeight="12.75"/>
  <cols>
    <col min="1" max="1" width="51.57421875" style="1" customWidth="1"/>
    <col min="2" max="2" width="35.57421875" style="1" customWidth="1"/>
    <col min="3" max="3" width="38.7109375" style="1" customWidth="1"/>
    <col min="4" max="4" width="30.140625" style="3" customWidth="1"/>
    <col min="5" max="5" width="7.7109375" style="1" customWidth="1"/>
    <col min="6" max="6" width="26.00390625" style="1" bestFit="1" customWidth="1"/>
    <col min="7" max="7" width="9.00390625" style="1" bestFit="1" customWidth="1"/>
    <col min="8" max="8" width="13.8515625" style="1" customWidth="1"/>
    <col min="9" max="9" width="35.57421875" style="1" bestFit="1" customWidth="1"/>
    <col min="10" max="16384" width="9.140625" style="1" customWidth="1"/>
  </cols>
  <sheetData>
    <row r="1" spans="1:5" s="13" customFormat="1" ht="18">
      <c r="A1" s="137" t="s">
        <v>123</v>
      </c>
      <c r="B1" s="138"/>
      <c r="C1" s="139"/>
      <c r="D1" s="139"/>
      <c r="E1" s="140"/>
    </row>
    <row r="2" spans="1:5" ht="12.75">
      <c r="A2" s="2" t="s">
        <v>126</v>
      </c>
      <c r="C2" s="147"/>
      <c r="D2" s="113" t="s">
        <v>171</v>
      </c>
      <c r="E2" s="114"/>
    </row>
    <row r="3" spans="1:4" ht="12.75">
      <c r="A3" s="66" t="s">
        <v>145</v>
      </c>
      <c r="D3" s="1"/>
    </row>
    <row r="4" spans="1:2" ht="12.75">
      <c r="A4" s="5" t="s">
        <v>0</v>
      </c>
      <c r="B4" s="52" t="s">
        <v>185</v>
      </c>
    </row>
    <row r="5" spans="1:2" ht="12.75">
      <c r="A5" s="5" t="s">
        <v>76</v>
      </c>
      <c r="B5" s="53" t="s">
        <v>212</v>
      </c>
    </row>
    <row r="6" spans="1:4" ht="12.75">
      <c r="A6" s="5" t="s">
        <v>77</v>
      </c>
      <c r="B6" s="53" t="s">
        <v>1</v>
      </c>
      <c r="C6" s="40"/>
      <c r="D6" s="44"/>
    </row>
    <row r="7" spans="1:5" ht="12.75">
      <c r="A7" s="5" t="s">
        <v>78</v>
      </c>
      <c r="B7" s="54">
        <v>41319</v>
      </c>
      <c r="C7" s="40"/>
      <c r="D7" s="44"/>
      <c r="E7" s="40"/>
    </row>
    <row r="8" spans="1:5" ht="12.75">
      <c r="A8" s="6" t="s">
        <v>2</v>
      </c>
      <c r="B8" s="53">
        <v>14.1</v>
      </c>
      <c r="C8" s="40" t="s">
        <v>3</v>
      </c>
      <c r="D8" s="44"/>
      <c r="E8" s="40"/>
    </row>
    <row r="9" spans="1:5" ht="12.75">
      <c r="A9" s="6" t="s">
        <v>71</v>
      </c>
      <c r="B9" s="46" t="s">
        <v>90</v>
      </c>
      <c r="C9" s="60">
        <f>VLOOKUP(B9,A73:B81,2)</f>
        <v>0.5</v>
      </c>
      <c r="D9" s="118" t="s">
        <v>141</v>
      </c>
      <c r="E9" s="45"/>
    </row>
    <row r="10" spans="1:5" ht="12.75">
      <c r="A10" s="6" t="s">
        <v>4</v>
      </c>
      <c r="B10" s="126">
        <v>1000</v>
      </c>
      <c r="C10" s="40" t="s">
        <v>5</v>
      </c>
      <c r="D10" s="44"/>
      <c r="E10" s="40"/>
    </row>
    <row r="11" spans="1:5" ht="12.75">
      <c r="A11" s="47"/>
      <c r="B11" s="48"/>
      <c r="C11" s="94" t="s">
        <v>6</v>
      </c>
      <c r="D11" s="119">
        <f>B10*C9</f>
        <v>500</v>
      </c>
      <c r="E11" s="95" t="s">
        <v>5</v>
      </c>
    </row>
    <row r="12" spans="1:5" ht="12.75">
      <c r="A12" s="6" t="s">
        <v>87</v>
      </c>
      <c r="B12" s="46" t="s">
        <v>83</v>
      </c>
      <c r="C12" s="60">
        <f>VLOOKUP(B12,A83:B87,2)</f>
        <v>0.5</v>
      </c>
      <c r="D12" s="120" t="s">
        <v>142</v>
      </c>
      <c r="E12" s="40"/>
    </row>
    <row r="13" spans="1:5" ht="12.75">
      <c r="A13" s="6" t="s">
        <v>85</v>
      </c>
      <c r="B13" s="46" t="s">
        <v>99</v>
      </c>
      <c r="C13" s="134">
        <f>VLOOKUP(B13,A89:D97,2)</f>
        <v>1.74</v>
      </c>
      <c r="D13" s="133" t="s">
        <v>158</v>
      </c>
      <c r="E13" s="40"/>
    </row>
    <row r="14" spans="1:5" ht="12.75">
      <c r="A14" s="6" t="s">
        <v>86</v>
      </c>
      <c r="B14" s="52">
        <v>22</v>
      </c>
      <c r="C14" s="94" t="s">
        <v>88</v>
      </c>
      <c r="D14" s="96">
        <f>VLOOKUP(B13,A89:D97,4)</f>
        <v>0.6134765431805789</v>
      </c>
      <c r="E14" s="95" t="s">
        <v>8</v>
      </c>
    </row>
    <row r="15" spans="1:5" ht="12.75">
      <c r="A15" s="59"/>
      <c r="B15" s="57"/>
      <c r="C15" s="107" t="s">
        <v>175</v>
      </c>
      <c r="D15" s="122">
        <f>C12*D11*10^(-D14/10)</f>
        <v>217.06627540850155</v>
      </c>
      <c r="E15" s="95" t="s">
        <v>5</v>
      </c>
    </row>
    <row r="16" spans="1:5" ht="12.75">
      <c r="A16" s="59" t="s">
        <v>173</v>
      </c>
      <c r="B16" s="135" t="s">
        <v>110</v>
      </c>
      <c r="C16" s="142"/>
      <c r="D16" s="143"/>
      <c r="E16" s="144"/>
    </row>
    <row r="17" spans="1:5" ht="12.75">
      <c r="A17" s="59" t="s">
        <v>172</v>
      </c>
      <c r="B17" s="146">
        <f>VLOOKUP(B16,A102:B111,2)</f>
        <v>7</v>
      </c>
      <c r="C17" s="145" t="s">
        <v>35</v>
      </c>
      <c r="D17" s="143"/>
      <c r="E17" s="144"/>
    </row>
    <row r="18" spans="1:10" s="3" customFormat="1" ht="12.75">
      <c r="A18" s="38" t="s">
        <v>7</v>
      </c>
      <c r="B18" s="61">
        <v>7.5</v>
      </c>
      <c r="C18" s="40" t="s">
        <v>35</v>
      </c>
      <c r="D18" s="40"/>
      <c r="E18" s="40"/>
      <c r="F18" s="1"/>
      <c r="G18" s="1"/>
      <c r="H18" s="1"/>
      <c r="I18" s="1"/>
      <c r="J18" s="44"/>
    </row>
    <row r="19" spans="1:10" ht="12.75">
      <c r="A19" s="49"/>
      <c r="B19" s="49"/>
      <c r="C19" s="136" t="s">
        <v>9</v>
      </c>
      <c r="D19" s="108">
        <f>10^((B18-D14)/10)</f>
        <v>4.882613478694003</v>
      </c>
      <c r="E19" s="109"/>
      <c r="J19" s="36"/>
    </row>
    <row r="20" spans="1:10" ht="12.75">
      <c r="A20" s="49"/>
      <c r="B20" s="49"/>
      <c r="C20" s="136" t="s">
        <v>73</v>
      </c>
      <c r="D20" s="122">
        <f>D15*D19</f>
        <v>1059.8507220794543</v>
      </c>
      <c r="E20" s="95" t="s">
        <v>5</v>
      </c>
      <c r="J20" s="36"/>
    </row>
    <row r="21" spans="1:10" ht="12.75">
      <c r="A21" s="6" t="s">
        <v>10</v>
      </c>
      <c r="B21" s="52">
        <v>10.1</v>
      </c>
      <c r="C21" s="1" t="s">
        <v>107</v>
      </c>
      <c r="D21" s="1"/>
      <c r="J21" s="36"/>
    </row>
    <row r="22" spans="1:10" ht="12.75">
      <c r="A22" s="6" t="s">
        <v>12</v>
      </c>
      <c r="B22" s="52" t="b">
        <v>0</v>
      </c>
      <c r="D22" s="1"/>
      <c r="J22" s="36"/>
    </row>
    <row r="23" spans="1:10" ht="14.25">
      <c r="A23" s="68" t="s">
        <v>13</v>
      </c>
      <c r="B23" s="141">
        <f>IF(OR(AND(B21&lt;10,D15&gt;100),D20&gt;3200),2,1)</f>
        <v>1</v>
      </c>
      <c r="C23" s="55" t="str">
        <f>IF(B23=1,"No further action Required","Please complete assessment below")</f>
        <v>No further action Required</v>
      </c>
      <c r="D23" s="58"/>
      <c r="E23" s="56"/>
      <c r="J23" s="36"/>
    </row>
    <row r="24" ht="12.75">
      <c r="J24" s="36"/>
    </row>
    <row r="25" spans="1:10" ht="18">
      <c r="A25" s="8" t="s">
        <v>14</v>
      </c>
      <c r="B25" s="9"/>
      <c r="C25" s="9"/>
      <c r="D25" s="10"/>
      <c r="J25" s="36"/>
    </row>
    <row r="26" spans="1:10" ht="12.75">
      <c r="A26" s="1" t="s">
        <v>15</v>
      </c>
      <c r="J26" s="36"/>
    </row>
    <row r="27" spans="1:10" ht="12.75">
      <c r="A27" s="1" t="s">
        <v>19</v>
      </c>
      <c r="J27" s="36"/>
    </row>
    <row r="28" spans="1:10" ht="13.5" thickBot="1">
      <c r="A28" s="11" t="s">
        <v>16</v>
      </c>
      <c r="B28" s="11"/>
      <c r="C28" s="11"/>
      <c r="D28" s="12" t="s">
        <v>17</v>
      </c>
      <c r="J28" s="36"/>
    </row>
    <row r="29" spans="1:10" s="13" customFormat="1" ht="64.5" thickTop="1">
      <c r="A29" s="33" t="s">
        <v>18</v>
      </c>
      <c r="B29" s="93">
        <v>14</v>
      </c>
      <c r="C29" s="33" t="s">
        <v>11</v>
      </c>
      <c r="D29" s="34" t="s">
        <v>72</v>
      </c>
      <c r="F29" s="1"/>
      <c r="G29" s="1"/>
      <c r="H29" s="1"/>
      <c r="I29" s="1"/>
      <c r="J29" s="37"/>
    </row>
    <row r="30" spans="1:5" ht="24.75" customHeight="1">
      <c r="A30" s="18" t="s">
        <v>74</v>
      </c>
      <c r="B30" s="32">
        <f>IF(B8&gt;50,(1.52/(4*3.1416)*SQRT(D15*LOG(50)*10^((B18)/10))*1.27),(1.68/(4*3.1416)*SQRT(D15*LOG(B8)*10^((B18)/10))*1.27))</f>
        <v>6.359159533213849</v>
      </c>
      <c r="C30" s="7" t="s">
        <v>109</v>
      </c>
      <c r="D30" s="179" t="str">
        <f>CONCATENATE(CONCATENATE(CONCATENATE(D15," Watts into "),B18)," dBi Antenna")</f>
        <v>217.066275408502 Watts into 7.5 dBi Antenna</v>
      </c>
      <c r="E30" s="180"/>
    </row>
    <row r="31" spans="2:4" ht="12.75">
      <c r="B31" s="15"/>
      <c r="C31" s="13"/>
      <c r="D31" s="13"/>
    </row>
    <row r="32" spans="1:4" ht="12.75">
      <c r="A32" s="18" t="s">
        <v>75</v>
      </c>
      <c r="B32" s="35">
        <f>IF(B8&gt;50,(1.52/(4*3.1416)*SQRT(D15*LOG(50))*1.27),(1.68/(4*3.1416)*SQRT(D15*LOG(B8))*1.27))</f>
        <v>2.681635339900815</v>
      </c>
      <c r="C32" s="7" t="s">
        <v>109</v>
      </c>
      <c r="D32" s="16" t="s">
        <v>176</v>
      </c>
    </row>
    <row r="33" spans="1:5" ht="18">
      <c r="A33" s="67" t="s">
        <v>108</v>
      </c>
      <c r="B33" s="62" t="str">
        <f>IF(B30&lt;B29,"YES","NO")</f>
        <v>YES</v>
      </c>
      <c r="C33" s="65" t="s">
        <v>105</v>
      </c>
      <c r="D33" s="63"/>
      <c r="E33" s="64"/>
    </row>
    <row r="34" ht="12.75">
      <c r="A34" s="18"/>
    </row>
    <row r="35" spans="1:4" s="17" customFormat="1" ht="18">
      <c r="A35" s="4"/>
      <c r="B35" s="1"/>
      <c r="C35" s="1"/>
      <c r="D35" s="3"/>
    </row>
    <row r="36" ht="12.75">
      <c r="A36" s="4"/>
    </row>
    <row r="37" ht="12.75">
      <c r="A37" s="4"/>
    </row>
    <row r="38" ht="12.75">
      <c r="A38" s="4"/>
    </row>
    <row r="39" ht="12.75">
      <c r="A39" s="4"/>
    </row>
    <row r="53" ht="12.75">
      <c r="A53" s="1" t="s">
        <v>80</v>
      </c>
    </row>
    <row r="55" spans="1:2" ht="12.75">
      <c r="A55" s="39">
        <v>1</v>
      </c>
      <c r="B55" s="41">
        <v>1.8</v>
      </c>
    </row>
    <row r="56" spans="1:2" ht="12.75">
      <c r="A56" s="39">
        <v>2</v>
      </c>
      <c r="B56" s="41">
        <v>3.5</v>
      </c>
    </row>
    <row r="57" spans="1:2" ht="12.75">
      <c r="A57" s="39">
        <v>5</v>
      </c>
      <c r="B57" s="41">
        <v>5.1</v>
      </c>
    </row>
    <row r="58" spans="1:2" ht="12.75">
      <c r="A58" s="39">
        <v>10</v>
      </c>
      <c r="B58" s="41">
        <v>7.1</v>
      </c>
    </row>
    <row r="59" spans="1:2" ht="12.75">
      <c r="A59" s="39">
        <v>25</v>
      </c>
      <c r="B59" s="41">
        <v>10.1</v>
      </c>
    </row>
    <row r="60" spans="1:2" ht="12.75">
      <c r="A60" s="39">
        <v>50</v>
      </c>
      <c r="B60" s="41">
        <v>14.1</v>
      </c>
    </row>
    <row r="61" spans="1:2" ht="12.75">
      <c r="A61" s="39">
        <v>100</v>
      </c>
      <c r="B61" s="41">
        <v>18.1</v>
      </c>
    </row>
    <row r="62" spans="1:2" ht="12.75">
      <c r="A62" s="39">
        <v>200</v>
      </c>
      <c r="B62" s="41">
        <v>21.1</v>
      </c>
    </row>
    <row r="63" spans="1:2" ht="12.75">
      <c r="A63" s="39">
        <v>400</v>
      </c>
      <c r="B63" s="41">
        <v>24.8</v>
      </c>
    </row>
    <row r="64" spans="1:2" ht="12.75">
      <c r="A64" s="39">
        <v>750</v>
      </c>
      <c r="B64" s="41">
        <v>28.2</v>
      </c>
    </row>
    <row r="65" spans="1:2" ht="12.75">
      <c r="A65" s="39">
        <v>1000</v>
      </c>
      <c r="B65" s="41">
        <v>50.1</v>
      </c>
    </row>
    <row r="66" spans="1:2" ht="12.75">
      <c r="A66" s="39">
        <v>1500</v>
      </c>
      <c r="B66" s="41">
        <v>144.1</v>
      </c>
    </row>
    <row r="67" spans="1:2" ht="12.75">
      <c r="A67" s="39">
        <v>2000</v>
      </c>
      <c r="B67" s="41">
        <v>432.1</v>
      </c>
    </row>
    <row r="68" spans="1:2" ht="12.75">
      <c r="A68" s="39">
        <v>3000</v>
      </c>
      <c r="B68" s="41">
        <v>1296.1</v>
      </c>
    </row>
    <row r="69" spans="1:2" ht="12.75">
      <c r="A69" s="39">
        <v>5000</v>
      </c>
      <c r="B69" s="41"/>
    </row>
    <row r="72" spans="1:2" ht="12.75">
      <c r="A72" s="40"/>
      <c r="B72" s="40"/>
    </row>
    <row r="73" spans="1:4" ht="12.75">
      <c r="A73" s="42" t="s">
        <v>93</v>
      </c>
      <c r="B73" s="42">
        <v>0.3</v>
      </c>
      <c r="C73" s="3"/>
      <c r="D73" s="1"/>
    </row>
    <row r="74" spans="1:4" ht="12.75">
      <c r="A74" s="42" t="s">
        <v>92</v>
      </c>
      <c r="B74" s="42">
        <v>0.5</v>
      </c>
      <c r="C74" s="3"/>
      <c r="D74" s="1"/>
    </row>
    <row r="75" spans="1:4" ht="12.75">
      <c r="A75" s="42" t="s">
        <v>97</v>
      </c>
      <c r="B75" s="42">
        <v>0.6</v>
      </c>
      <c r="C75" s="3"/>
      <c r="D75" s="1"/>
    </row>
    <row r="76" spans="1:4" ht="12.75">
      <c r="A76" s="42" t="s">
        <v>96</v>
      </c>
      <c r="B76" s="42">
        <v>1</v>
      </c>
      <c r="C76" s="3"/>
      <c r="D76" s="1"/>
    </row>
    <row r="77" spans="1:4" ht="12.75">
      <c r="A77" s="42" t="s">
        <v>94</v>
      </c>
      <c r="B77" s="42">
        <v>0.4</v>
      </c>
      <c r="C77" s="3"/>
      <c r="D77" s="1"/>
    </row>
    <row r="78" spans="1:4" ht="12.75">
      <c r="A78" s="42" t="s">
        <v>89</v>
      </c>
      <c r="B78" s="42">
        <v>0.2</v>
      </c>
      <c r="C78" s="3"/>
      <c r="D78" s="1"/>
    </row>
    <row r="79" spans="1:4" ht="12.75">
      <c r="A79" s="42" t="s">
        <v>90</v>
      </c>
      <c r="B79" s="42">
        <v>0.5</v>
      </c>
      <c r="C79" s="3"/>
      <c r="D79" s="1"/>
    </row>
    <row r="80" spans="1:4" ht="12.75">
      <c r="A80" s="42" t="s">
        <v>95</v>
      </c>
      <c r="B80" s="42">
        <v>1</v>
      </c>
      <c r="C80" s="3"/>
      <c r="D80" s="1"/>
    </row>
    <row r="81" spans="1:4" ht="12.75">
      <c r="A81" s="42" t="s">
        <v>91</v>
      </c>
      <c r="B81" s="42">
        <v>1</v>
      </c>
      <c r="C81" s="3"/>
      <c r="D81" s="1"/>
    </row>
    <row r="82" spans="1:2" ht="12.75">
      <c r="A82" s="40"/>
      <c r="B82" s="40"/>
    </row>
    <row r="83" spans="1:2" ht="12.75">
      <c r="A83" s="42" t="s">
        <v>84</v>
      </c>
      <c r="B83" s="43">
        <v>1</v>
      </c>
    </row>
    <row r="84" spans="1:2" ht="12.75">
      <c r="A84" s="42" t="s">
        <v>150</v>
      </c>
      <c r="B84" s="43">
        <v>0.3</v>
      </c>
    </row>
    <row r="85" spans="1:2" ht="12.75">
      <c r="A85" s="42" t="s">
        <v>83</v>
      </c>
      <c r="B85" s="43">
        <v>0.5</v>
      </c>
    </row>
    <row r="86" spans="1:2" ht="12.75">
      <c r="A86" s="42" t="s">
        <v>81</v>
      </c>
      <c r="B86" s="43">
        <v>0.5</v>
      </c>
    </row>
    <row r="87" spans="1:2" ht="12.75">
      <c r="A87" s="42" t="s">
        <v>82</v>
      </c>
      <c r="B87" s="43">
        <v>1</v>
      </c>
    </row>
    <row r="89" spans="1:4" ht="12.75">
      <c r="A89" s="70">
        <v>9913</v>
      </c>
      <c r="B89" s="50">
        <v>0.9</v>
      </c>
      <c r="D89" s="51">
        <f aca="true" t="shared" si="0" ref="D89:D97">B89*((B$8/50)^0.566)*B$14/30.48</f>
        <v>0.317315453369265</v>
      </c>
    </row>
    <row r="90" spans="1:4" ht="12.75">
      <c r="A90" s="50" t="s">
        <v>100</v>
      </c>
      <c r="B90" s="50">
        <v>1.5</v>
      </c>
      <c r="C90" s="1" t="s">
        <v>136</v>
      </c>
      <c r="D90" s="51">
        <f t="shared" si="0"/>
        <v>0.5288590889487749</v>
      </c>
    </row>
    <row r="91" spans="1:4" ht="12.75">
      <c r="A91" s="50" t="s">
        <v>101</v>
      </c>
      <c r="B91" s="50">
        <v>0.5</v>
      </c>
      <c r="D91" s="51">
        <f t="shared" si="0"/>
        <v>0.17628636298292497</v>
      </c>
    </row>
    <row r="92" spans="1:4" ht="12.75">
      <c r="A92" s="50" t="s">
        <v>102</v>
      </c>
      <c r="B92" s="50">
        <v>0.3</v>
      </c>
      <c r="D92" s="51">
        <f t="shared" si="0"/>
        <v>0.10577181778975499</v>
      </c>
    </row>
    <row r="93" spans="1:4" ht="12.75">
      <c r="A93" s="50" t="s">
        <v>137</v>
      </c>
      <c r="B93" s="50">
        <v>0.3</v>
      </c>
      <c r="D93" s="51">
        <f t="shared" si="0"/>
        <v>0.10577181778975499</v>
      </c>
    </row>
    <row r="94" spans="1:4" ht="12.75">
      <c r="A94" s="50" t="s">
        <v>99</v>
      </c>
      <c r="B94" s="50">
        <v>1.74</v>
      </c>
      <c r="D94" s="51">
        <f t="shared" si="0"/>
        <v>0.6134765431805789</v>
      </c>
    </row>
    <row r="95" spans="1:4" ht="12.75">
      <c r="A95" s="50" t="s">
        <v>104</v>
      </c>
      <c r="B95" s="50">
        <v>2</v>
      </c>
      <c r="D95" s="51">
        <f t="shared" si="0"/>
        <v>0.7051454519316999</v>
      </c>
    </row>
    <row r="96" spans="1:4" ht="12.75">
      <c r="A96" s="50" t="s">
        <v>103</v>
      </c>
      <c r="B96" s="50">
        <v>3.5</v>
      </c>
      <c r="D96" s="51">
        <f t="shared" si="0"/>
        <v>1.2340045408804747</v>
      </c>
    </row>
    <row r="97" spans="1:4" ht="12.75">
      <c r="A97" s="50" t="s">
        <v>98</v>
      </c>
      <c r="B97" s="50">
        <v>2.1</v>
      </c>
      <c r="D97" s="51">
        <f t="shared" si="0"/>
        <v>0.7404027245282849</v>
      </c>
    </row>
    <row r="99" ht="12.75">
      <c r="A99" s="56" t="b">
        <v>1</v>
      </c>
    </row>
    <row r="100" ht="12.75">
      <c r="A100" s="56" t="b">
        <v>0</v>
      </c>
    </row>
    <row r="102" spans="1:2" ht="12.75">
      <c r="A102" s="69" t="s">
        <v>116</v>
      </c>
      <c r="B102" s="69">
        <v>16.8</v>
      </c>
    </row>
    <row r="103" spans="1:2" ht="12.75">
      <c r="A103" s="69" t="s">
        <v>115</v>
      </c>
      <c r="B103" s="69">
        <v>4</v>
      </c>
    </row>
    <row r="104" spans="1:2" ht="12.75">
      <c r="A104" s="69" t="s">
        <v>117</v>
      </c>
      <c r="B104" s="69">
        <v>24</v>
      </c>
    </row>
    <row r="105" spans="1:2" ht="12.75">
      <c r="A105" s="69" t="s">
        <v>114</v>
      </c>
      <c r="B105" s="69">
        <v>2</v>
      </c>
    </row>
    <row r="106" spans="1:2" ht="12.75">
      <c r="A106" s="69" t="s">
        <v>118</v>
      </c>
      <c r="B106" s="69">
        <v>2</v>
      </c>
    </row>
    <row r="107" spans="1:2" ht="12.75">
      <c r="A107" s="69" t="s">
        <v>119</v>
      </c>
      <c r="B107" s="69">
        <v>6.7</v>
      </c>
    </row>
    <row r="108" spans="1:2" ht="12.75">
      <c r="A108" s="69" t="s">
        <v>113</v>
      </c>
      <c r="B108" s="69">
        <v>1</v>
      </c>
    </row>
    <row r="109" spans="1:2" ht="12.75">
      <c r="A109" s="69" t="s">
        <v>112</v>
      </c>
      <c r="B109" s="69">
        <v>8.5</v>
      </c>
    </row>
    <row r="110" spans="1:2" ht="12.75">
      <c r="A110" s="69" t="s">
        <v>111</v>
      </c>
      <c r="B110" s="69">
        <v>7.5</v>
      </c>
    </row>
    <row r="111" spans="1:2" ht="12.75">
      <c r="A111" s="69" t="s">
        <v>110</v>
      </c>
      <c r="B111" s="69">
        <v>7</v>
      </c>
    </row>
  </sheetData>
  <sheetProtection/>
  <mergeCells count="1">
    <mergeCell ref="D30:E30"/>
  </mergeCells>
  <dataValidations count="7">
    <dataValidation type="list" allowBlank="1" showInputMessage="1" showErrorMessage="1" sqref="B22">
      <formula1>$A$99:$A$100</formula1>
    </dataValidation>
    <dataValidation type="list" allowBlank="1" showInputMessage="1" showErrorMessage="1" sqref="B12">
      <formula1>$A$83:$A$87</formula1>
    </dataValidation>
    <dataValidation type="list" allowBlank="1" showInputMessage="1" showErrorMessage="1" sqref="B10">
      <formula1>$A$55:$A$69</formula1>
    </dataValidation>
    <dataValidation type="list" allowBlank="1" showInputMessage="1" showErrorMessage="1" sqref="B9">
      <formula1>$A$73:$A$81</formula1>
    </dataValidation>
    <dataValidation type="list" allowBlank="1" showInputMessage="1" showErrorMessage="1" sqref="B8">
      <formula1>FREQUENCY_BAND</formula1>
    </dataValidation>
    <dataValidation type="list" allowBlank="1" showInputMessage="1" showErrorMessage="1" sqref="B13">
      <formula1>$A$89:$A$97</formula1>
    </dataValidation>
    <dataValidation type="list" allowBlank="1" showInputMessage="1" showErrorMessage="1" sqref="B16">
      <formula1>$A$102:$A$111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alignWithMargins="0">
    <oddHeader>&amp;CPage &amp;P of &amp;N</oddHeader>
    <oddFooter>&amp;C&amp;F</oddFooter>
  </headerFooter>
</worksheet>
</file>

<file path=xl/worksheets/sheet6.xml><?xml version="1.0" encoding="utf-8"?>
<worksheet xmlns="http://schemas.openxmlformats.org/spreadsheetml/2006/main" xmlns:r="http://schemas.openxmlformats.org/officeDocument/2006/relationships">
  <dimension ref="A1:A28"/>
  <sheetViews>
    <sheetView zoomScale="90" zoomScaleNormal="90" zoomScalePageLayoutView="0" workbookViewId="0" topLeftCell="A1">
      <selection activeCell="A12" sqref="A12"/>
    </sheetView>
  </sheetViews>
  <sheetFormatPr defaultColWidth="9.140625" defaultRowHeight="12.75"/>
  <cols>
    <col min="1" max="1" width="144.8515625" style="75" customWidth="1"/>
    <col min="2" max="16384" width="9.140625" style="74" customWidth="1"/>
  </cols>
  <sheetData>
    <row r="1" ht="20.25">
      <c r="A1" s="73" t="s">
        <v>220</v>
      </c>
    </row>
    <row r="2" s="76" customFormat="1" ht="31.5">
      <c r="A2" s="84" t="s">
        <v>122</v>
      </c>
    </row>
    <row r="3" s="76" customFormat="1" ht="31.5">
      <c r="A3" s="77" t="s">
        <v>121</v>
      </c>
    </row>
    <row r="4" s="76" customFormat="1" ht="15.75">
      <c r="A4" s="77" t="s">
        <v>157</v>
      </c>
    </row>
    <row r="5" s="76" customFormat="1" ht="15.75">
      <c r="A5" s="78"/>
    </row>
    <row r="6" s="76" customFormat="1" ht="15.75">
      <c r="A6" s="79" t="s">
        <v>120</v>
      </c>
    </row>
    <row r="7" s="76" customFormat="1" ht="47.25">
      <c r="A7" s="80" t="s">
        <v>152</v>
      </c>
    </row>
    <row r="8" s="76" customFormat="1" ht="31.5">
      <c r="A8" s="78" t="s">
        <v>153</v>
      </c>
    </row>
    <row r="9" s="76" customFormat="1" ht="15.75">
      <c r="A9" s="78" t="s">
        <v>133</v>
      </c>
    </row>
    <row r="11" ht="20.25">
      <c r="A11" s="73" t="s">
        <v>221</v>
      </c>
    </row>
    <row r="12" s="76" customFormat="1" ht="15.75">
      <c r="A12" s="84" t="s">
        <v>134</v>
      </c>
    </row>
    <row r="13" s="76" customFormat="1" ht="31.5">
      <c r="A13" s="77" t="s">
        <v>125</v>
      </c>
    </row>
    <row r="14" s="76" customFormat="1" ht="15.75">
      <c r="A14" s="77" t="s">
        <v>124</v>
      </c>
    </row>
    <row r="15" s="76" customFormat="1" ht="15.75">
      <c r="A15" s="79"/>
    </row>
    <row r="17" ht="20.25">
      <c r="A17" s="73" t="s">
        <v>147</v>
      </c>
    </row>
    <row r="18" s="76" customFormat="1" ht="31.5">
      <c r="A18" s="84" t="s">
        <v>127</v>
      </c>
    </row>
    <row r="19" s="76" customFormat="1" ht="31.5">
      <c r="A19" s="77" t="s">
        <v>128</v>
      </c>
    </row>
    <row r="20" s="76" customFormat="1" ht="31.5">
      <c r="A20" s="77" t="s">
        <v>154</v>
      </c>
    </row>
    <row r="21" s="76" customFormat="1" ht="15.75">
      <c r="A21" s="79"/>
    </row>
    <row r="22" s="76" customFormat="1" ht="15.75">
      <c r="A22" s="79" t="s">
        <v>151</v>
      </c>
    </row>
    <row r="23" s="76" customFormat="1" ht="15.75">
      <c r="A23" s="79" t="s">
        <v>135</v>
      </c>
    </row>
    <row r="24" s="76" customFormat="1" ht="47.25">
      <c r="A24" s="80" t="s">
        <v>146</v>
      </c>
    </row>
    <row r="25" s="82" customFormat="1" ht="15.75">
      <c r="A25" s="81"/>
    </row>
    <row r="26" s="82" customFormat="1" ht="15.75">
      <c r="A26" s="85" t="s">
        <v>155</v>
      </c>
    </row>
    <row r="27" s="76" customFormat="1" ht="31.5">
      <c r="A27" s="85" t="s">
        <v>178</v>
      </c>
    </row>
    <row r="28" s="76" customFormat="1" ht="15.75">
      <c r="A28" s="8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 EMR Compliance Test / Documentation V1.1</dc:title>
  <dc:subject>EMR Compliance 2003.</dc:subject>
  <dc:creator>david e burger</dc:creator>
  <cp:keywords>Compliance, ACA</cp:keywords>
  <dc:description>Written around ACA compliance documentation, based on ACA documentation available 4 June 2003.  Tested to ALL tables with notes.</dc:description>
  <cp:lastModifiedBy>dburger</cp:lastModifiedBy>
  <cp:lastPrinted>2013-02-15T03:51:51Z</cp:lastPrinted>
  <dcterms:created xsi:type="dcterms:W3CDTF">2003-06-05T02:07:27Z</dcterms:created>
  <dcterms:modified xsi:type="dcterms:W3CDTF">2013-03-20T05:15:28Z</dcterms:modified>
  <cp:category>Compliance, ACA</cp:category>
  <cp:version/>
  <cp:contentType/>
  <cp:contentStatus/>
</cp:coreProperties>
</file>